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sharepoint.com/teams/manbus/ManagingRegionsAndGroups/hbreksp/RBMT/Banding Tool spreadsheet/2024-25/"/>
    </mc:Choice>
  </mc:AlternateContent>
  <xr:revisionPtr revIDLastSave="0" documentId="13_ncr:1_{6FE51CB6-CBE0-405D-9A08-B49AB9FABCB5}" xr6:coauthVersionLast="47" xr6:coauthVersionMax="47" xr10:uidLastSave="{00000000-0000-0000-0000-000000000000}"/>
  <bookViews>
    <workbookView xWindow="-120" yWindow="-120" windowWidth="29040" windowHeight="15840" activeTab="1" xr2:uid="{00000000-000D-0000-FFFF-FFFF00000000}"/>
  </bookViews>
  <sheets>
    <sheet name="Canllawiau" sheetId="27" r:id="rId1"/>
    <sheet name="Cyflwyniad" sheetId="32" r:id="rId2"/>
    <sheet name="Gweithgareddau rhestredig" sheetId="21" r:id="rId3"/>
    <sheet name="Gweithgareddau eraill" sheetId="22" r:id="rId4"/>
    <sheet name="Amrwymiadau" sheetId="19" r:id="rId5"/>
    <sheet name="Picklists" sheetId="2" state="hidden" r:id="rId6"/>
  </sheets>
  <definedNames>
    <definedName name="category">Picklists!$N$3:$T$3</definedName>
    <definedName name="Cyfarpar_Hylosgi_Canolig">Picklists!$T$4:$T$4</definedName>
    <definedName name="Cyfarpar_Hylosgi_Canolig_a_Generaduron_Penodedig">Picklists!$R$4:$R$6</definedName>
    <definedName name="Generaduron_penodedig">Picklists!$S$4:$S$4</definedName>
    <definedName name="Gweithgareddau_gwastraff_uniongyrchol_gysylltiedig">Picklists!$Q$4:$Q$5</definedName>
    <definedName name="No">Picklists!$AG$3</definedName>
    <definedName name="Operator">Picklists!$AF$2:$AG$2</definedName>
    <definedName name="Rhan_A2">Picklists!$N$4:$N$24</definedName>
    <definedName name="Rhan_B">Picklists!$O$4:$O$74</definedName>
    <definedName name="RhanB_CHC_a_neu_EP">Picklists!$P$4:$P$9</definedName>
    <definedName name="Yes">Picklists!$AF$3:$AF$4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2" l="1"/>
  <c r="G16" i="32" l="1"/>
  <c r="F16" i="32"/>
  <c r="E16" i="32"/>
  <c r="G15" i="32"/>
  <c r="F15" i="32"/>
  <c r="E15" i="32"/>
  <c r="D16" i="32"/>
  <c r="D15" i="32"/>
  <c r="F2" i="22"/>
  <c r="C2" i="21"/>
  <c r="C3" i="32"/>
  <c r="C1" i="27"/>
  <c r="M71" i="19"/>
  <c r="M72" i="19"/>
  <c r="M73" i="19"/>
  <c r="M74" i="19"/>
  <c r="M75" i="19"/>
  <c r="M76" i="19"/>
  <c r="M77" i="19"/>
  <c r="M70" i="19"/>
  <c r="I71" i="19"/>
  <c r="I72" i="19"/>
  <c r="I73" i="19"/>
  <c r="I74" i="19"/>
  <c r="I75" i="19"/>
  <c r="I76" i="19"/>
  <c r="I77" i="19"/>
  <c r="I70" i="19"/>
  <c r="H71" i="19"/>
  <c r="H72" i="19"/>
  <c r="H73" i="19"/>
  <c r="H74" i="19"/>
  <c r="H75" i="19"/>
  <c r="H76" i="19"/>
  <c r="H77" i="19"/>
  <c r="H70" i="19"/>
  <c r="AA12" i="22"/>
  <c r="AA15" i="22"/>
  <c r="AA16" i="22"/>
  <c r="AA17" i="22"/>
  <c r="Y19" i="22"/>
  <c r="Z19" i="22"/>
  <c r="AA19" i="22"/>
  <c r="Y20" i="22"/>
  <c r="Z20" i="22"/>
  <c r="AA20" i="22"/>
  <c r="Y21" i="22"/>
  <c r="Z21" i="22"/>
  <c r="AA21" i="22"/>
  <c r="Y22" i="22"/>
  <c r="Z22" i="22"/>
  <c r="AA22" i="22"/>
  <c r="Y23" i="22"/>
  <c r="Z23" i="22"/>
  <c r="AA23" i="22"/>
  <c r="Y24" i="22"/>
  <c r="Z24" i="22"/>
  <c r="AA24" i="22"/>
  <c r="Y25" i="22"/>
  <c r="Z25" i="22"/>
  <c r="AA25" i="22"/>
  <c r="Y26" i="22"/>
  <c r="Z26" i="22"/>
  <c r="AA26" i="22"/>
  <c r="Y27" i="22"/>
  <c r="Z27" i="22"/>
  <c r="AA27" i="22"/>
  <c r="Y28" i="22"/>
  <c r="Z28" i="22"/>
  <c r="AA28" i="22"/>
  <c r="Y29" i="22"/>
  <c r="Z29" i="22"/>
  <c r="AA29" i="22"/>
  <c r="Y30" i="22"/>
  <c r="Z30" i="22"/>
  <c r="AA30" i="22"/>
  <c r="Y31" i="22"/>
  <c r="Z31" i="22"/>
  <c r="AA31" i="22"/>
  <c r="X19" i="22"/>
  <c r="X20" i="22"/>
  <c r="X21" i="22"/>
  <c r="X22" i="22"/>
  <c r="X23" i="22"/>
  <c r="X24" i="22"/>
  <c r="X25" i="22"/>
  <c r="X26" i="22"/>
  <c r="X27" i="22"/>
  <c r="X28" i="22"/>
  <c r="X29" i="22"/>
  <c r="X30" i="22"/>
  <c r="X31" i="22"/>
  <c r="X12" i="22"/>
  <c r="V15" i="22"/>
  <c r="V16" i="22"/>
  <c r="V17" i="22"/>
  <c r="U19" i="22"/>
  <c r="V19" i="22"/>
  <c r="U20" i="22"/>
  <c r="V20" i="22"/>
  <c r="U21" i="22"/>
  <c r="V21" i="22"/>
  <c r="U22" i="22"/>
  <c r="V22" i="22"/>
  <c r="U23" i="22"/>
  <c r="V23" i="22"/>
  <c r="U24" i="22"/>
  <c r="V24" i="22"/>
  <c r="U25" i="22"/>
  <c r="V25" i="22"/>
  <c r="U26" i="22"/>
  <c r="V26" i="22"/>
  <c r="U27" i="22"/>
  <c r="V27" i="22"/>
  <c r="U28" i="22"/>
  <c r="V28" i="22"/>
  <c r="U29" i="22"/>
  <c r="V29" i="22"/>
  <c r="U30" i="22"/>
  <c r="V30" i="22"/>
  <c r="U31" i="22"/>
  <c r="V31" i="22"/>
  <c r="T19" i="22"/>
  <c r="T20" i="22"/>
  <c r="T21" i="22"/>
  <c r="T22" i="22"/>
  <c r="T23" i="22"/>
  <c r="T24" i="22"/>
  <c r="T25" i="22"/>
  <c r="T26" i="22"/>
  <c r="T27" i="22"/>
  <c r="T28" i="22"/>
  <c r="T29" i="22"/>
  <c r="T30" i="22"/>
  <c r="T31" i="22"/>
  <c r="S19" i="22"/>
  <c r="S20" i="22"/>
  <c r="S21" i="22"/>
  <c r="S22" i="22"/>
  <c r="S23" i="22"/>
  <c r="S24" i="22"/>
  <c r="S25" i="22"/>
  <c r="S26" i="22"/>
  <c r="S27" i="22"/>
  <c r="S28" i="22"/>
  <c r="S29" i="22"/>
  <c r="S30" i="22"/>
  <c r="S31" i="22"/>
  <c r="Q13" i="22"/>
  <c r="V13" i="22" s="1"/>
  <c r="Q14" i="22"/>
  <c r="AA14" i="22" s="1"/>
  <c r="Q15" i="22"/>
  <c r="Q16" i="22"/>
  <c r="Q17" i="22"/>
  <c r="Q18" i="22"/>
  <c r="AA18" i="22" s="1"/>
  <c r="Q19" i="22"/>
  <c r="Q20" i="22"/>
  <c r="Q21" i="22"/>
  <c r="Q22" i="22"/>
  <c r="Q23" i="22"/>
  <c r="Q24" i="22"/>
  <c r="Q25" i="22"/>
  <c r="Q26" i="22"/>
  <c r="Q27" i="22"/>
  <c r="Q28" i="22"/>
  <c r="Q29" i="22"/>
  <c r="Q30" i="22"/>
  <c r="Q31" i="22"/>
  <c r="Q12" i="22"/>
  <c r="V12" i="22" s="1"/>
  <c r="P13" i="22"/>
  <c r="P14" i="22"/>
  <c r="Z14" i="22" s="1"/>
  <c r="P15" i="22"/>
  <c r="Z15" i="22" s="1"/>
  <c r="P16" i="22"/>
  <c r="Z16" i="22" s="1"/>
  <c r="P17" i="22"/>
  <c r="P18" i="22"/>
  <c r="Z18" i="22" s="1"/>
  <c r="P19" i="22"/>
  <c r="P20" i="22"/>
  <c r="P21" i="22"/>
  <c r="P22" i="22"/>
  <c r="P23" i="22"/>
  <c r="P24" i="22"/>
  <c r="P25" i="22"/>
  <c r="P26" i="22"/>
  <c r="P27" i="22"/>
  <c r="P28" i="22"/>
  <c r="P29" i="22"/>
  <c r="P30" i="22"/>
  <c r="P31" i="22"/>
  <c r="P12" i="22"/>
  <c r="Z12" i="22" s="1"/>
  <c r="O13" i="22"/>
  <c r="O14" i="22"/>
  <c r="T14" i="22" s="1"/>
  <c r="O15" i="22"/>
  <c r="T15" i="22" s="1"/>
  <c r="O16" i="22"/>
  <c r="T16" i="22" s="1"/>
  <c r="O17" i="22"/>
  <c r="O18" i="22"/>
  <c r="O19" i="22"/>
  <c r="O20" i="22"/>
  <c r="O21" i="22"/>
  <c r="O22" i="22"/>
  <c r="O23" i="22"/>
  <c r="O24" i="22"/>
  <c r="O25" i="22"/>
  <c r="O26" i="22"/>
  <c r="O27" i="22"/>
  <c r="O28" i="22"/>
  <c r="O29" i="22"/>
  <c r="O30" i="22"/>
  <c r="O31" i="22"/>
  <c r="O12" i="22"/>
  <c r="T12" i="22" s="1"/>
  <c r="N13" i="22"/>
  <c r="X13" i="22" s="1"/>
  <c r="N14" i="22"/>
  <c r="X14" i="22" s="1"/>
  <c r="N15" i="22"/>
  <c r="X15" i="22" s="1"/>
  <c r="N16" i="22"/>
  <c r="X16" i="22" s="1"/>
  <c r="N17" i="22"/>
  <c r="X17" i="22" s="1"/>
  <c r="N18" i="22"/>
  <c r="S18" i="22" s="1"/>
  <c r="N19" i="22"/>
  <c r="N20" i="22"/>
  <c r="N21" i="22"/>
  <c r="N22" i="22"/>
  <c r="N23" i="22"/>
  <c r="N24" i="22"/>
  <c r="N25" i="22"/>
  <c r="N26" i="22"/>
  <c r="N27" i="22"/>
  <c r="N28" i="22"/>
  <c r="N29" i="22"/>
  <c r="N30" i="22"/>
  <c r="N31" i="22"/>
  <c r="N12" i="22"/>
  <c r="S12" i="22" s="1"/>
  <c r="E48" i="19"/>
  <c r="G35" i="19"/>
  <c r="G25" i="19"/>
  <c r="Y17" i="22" l="1"/>
  <c r="Y13" i="22"/>
  <c r="X18" i="22"/>
  <c r="T13" i="22"/>
  <c r="S15" i="22"/>
  <c r="U15" i="22"/>
  <c r="S14" i="22"/>
  <c r="T18" i="22"/>
  <c r="V18" i="22"/>
  <c r="V14" i="22"/>
  <c r="AA13" i="22"/>
  <c r="Z17" i="22"/>
  <c r="S13" i="22"/>
  <c r="T17" i="22"/>
  <c r="Z13" i="22"/>
  <c r="S17" i="22"/>
  <c r="S16" i="22"/>
  <c r="M78" i="19"/>
  <c r="M15" i="32" s="1"/>
  <c r="G48" i="19"/>
  <c r="G46" i="19"/>
  <c r="G38" i="19"/>
  <c r="I38" i="19" s="1"/>
  <c r="K36" i="19"/>
  <c r="I25" i="19"/>
  <c r="K25" i="19" s="1"/>
  <c r="K22" i="19"/>
  <c r="G18" i="19"/>
  <c r="G15" i="19"/>
  <c r="I15" i="19" s="1"/>
  <c r="E7" i="19"/>
  <c r="E6" i="19"/>
  <c r="K31" i="22"/>
  <c r="D31" i="22"/>
  <c r="C31" i="22"/>
  <c r="B31" i="22"/>
  <c r="K30" i="22"/>
  <c r="D30" i="22"/>
  <c r="C30" i="22"/>
  <c r="B30" i="22"/>
  <c r="K29" i="22"/>
  <c r="D29" i="22"/>
  <c r="C29" i="22"/>
  <c r="B29" i="22"/>
  <c r="K28" i="22"/>
  <c r="D28" i="22"/>
  <c r="C28" i="22"/>
  <c r="B28" i="22"/>
  <c r="K27" i="22"/>
  <c r="D27" i="22"/>
  <c r="C27" i="22"/>
  <c r="B27" i="22"/>
  <c r="K26" i="22"/>
  <c r="D26" i="22"/>
  <c r="C26" i="22"/>
  <c r="B26" i="22"/>
  <c r="K25" i="22"/>
  <c r="D25" i="22"/>
  <c r="C25" i="22"/>
  <c r="B25" i="22"/>
  <c r="K24" i="22"/>
  <c r="D24" i="22"/>
  <c r="C24" i="22"/>
  <c r="B24" i="22"/>
  <c r="K23" i="22"/>
  <c r="D23" i="22"/>
  <c r="C23" i="22"/>
  <c r="B23" i="22"/>
  <c r="K22" i="22"/>
  <c r="D22" i="22"/>
  <c r="C22" i="22"/>
  <c r="B22" i="22"/>
  <c r="K21" i="22"/>
  <c r="D21" i="22"/>
  <c r="C21" i="22"/>
  <c r="B21" i="22"/>
  <c r="K20" i="22"/>
  <c r="D20" i="22"/>
  <c r="C20" i="22"/>
  <c r="B20" i="22"/>
  <c r="K19" i="22"/>
  <c r="D19" i="22"/>
  <c r="C19" i="22"/>
  <c r="B19" i="22"/>
  <c r="K18" i="22"/>
  <c r="U18" i="22" s="1"/>
  <c r="D18" i="22"/>
  <c r="C18" i="22"/>
  <c r="B18" i="22"/>
  <c r="K17" i="22"/>
  <c r="U17" i="22" s="1"/>
  <c r="D17" i="22"/>
  <c r="C17" i="22"/>
  <c r="B17" i="22"/>
  <c r="K16" i="22"/>
  <c r="U16" i="22" s="1"/>
  <c r="D16" i="22"/>
  <c r="C16" i="22"/>
  <c r="B16" i="22"/>
  <c r="K15" i="22"/>
  <c r="Y15" i="22" s="1"/>
  <c r="D15" i="22"/>
  <c r="C15" i="22"/>
  <c r="B15" i="22"/>
  <c r="K14" i="22"/>
  <c r="U14" i="22" s="1"/>
  <c r="D14" i="22"/>
  <c r="C14" i="22"/>
  <c r="B14" i="22"/>
  <c r="K13" i="22"/>
  <c r="U13" i="22" s="1"/>
  <c r="D13" i="22"/>
  <c r="C13" i="22"/>
  <c r="B13" i="22"/>
  <c r="K12" i="22"/>
  <c r="Y12" i="22" s="1"/>
  <c r="D12" i="22"/>
  <c r="C12" i="22"/>
  <c r="B12" i="22"/>
  <c r="G11" i="22" s="1"/>
  <c r="G65" i="19" s="1"/>
  <c r="H6" i="22"/>
  <c r="H5" i="22"/>
  <c r="U33" i="21"/>
  <c r="X33" i="21" s="1"/>
  <c r="S33" i="21"/>
  <c r="R33" i="21"/>
  <c r="Q33" i="21"/>
  <c r="N33" i="21"/>
  <c r="O33" i="21" s="1"/>
  <c r="L33" i="21"/>
  <c r="M33" i="21" s="1"/>
  <c r="K33" i="21"/>
  <c r="H33" i="21"/>
  <c r="W33" i="21" s="1"/>
  <c r="W32" i="21"/>
  <c r="U32" i="21"/>
  <c r="X32" i="21" s="1"/>
  <c r="S32" i="21"/>
  <c r="R32" i="21"/>
  <c r="Q32" i="21"/>
  <c r="N32" i="21"/>
  <c r="O32" i="21" s="1"/>
  <c r="M32" i="21"/>
  <c r="L32" i="21"/>
  <c r="P32" i="21" s="1"/>
  <c r="K32" i="21"/>
  <c r="H32" i="21"/>
  <c r="V32" i="21" s="1"/>
  <c r="U31" i="21"/>
  <c r="X31" i="21" s="1"/>
  <c r="S31" i="21"/>
  <c r="R31" i="21"/>
  <c r="Q31" i="21"/>
  <c r="N31" i="21"/>
  <c r="O31" i="21" s="1"/>
  <c r="L31" i="21"/>
  <c r="K31" i="21"/>
  <c r="H31" i="21"/>
  <c r="W31" i="21" s="1"/>
  <c r="X30" i="21"/>
  <c r="U30" i="21"/>
  <c r="S30" i="21"/>
  <c r="R30" i="21"/>
  <c r="Q30" i="21"/>
  <c r="N30" i="21"/>
  <c r="O30" i="21" s="1"/>
  <c r="L30" i="21"/>
  <c r="M30" i="21" s="1"/>
  <c r="K30" i="21"/>
  <c r="H30" i="21"/>
  <c r="V30" i="21" s="1"/>
  <c r="U29" i="21"/>
  <c r="X29" i="21" s="1"/>
  <c r="S29" i="21"/>
  <c r="R29" i="21"/>
  <c r="Q29" i="21"/>
  <c r="P29" i="21"/>
  <c r="N29" i="21"/>
  <c r="O29" i="21" s="1"/>
  <c r="L29" i="21"/>
  <c r="M29" i="21" s="1"/>
  <c r="K29" i="21"/>
  <c r="H29" i="21"/>
  <c r="W29" i="21" s="1"/>
  <c r="U28" i="21"/>
  <c r="X28" i="21" s="1"/>
  <c r="S28" i="21"/>
  <c r="R28" i="21"/>
  <c r="Q28" i="21"/>
  <c r="N28" i="21"/>
  <c r="O28" i="21" s="1"/>
  <c r="L28" i="21"/>
  <c r="M28" i="21" s="1"/>
  <c r="K28" i="21"/>
  <c r="H28" i="21"/>
  <c r="V28" i="21" s="1"/>
  <c r="U27" i="21"/>
  <c r="X27" i="21" s="1"/>
  <c r="S27" i="21"/>
  <c r="R27" i="21"/>
  <c r="Q27" i="21"/>
  <c r="N27" i="21"/>
  <c r="O27" i="21" s="1"/>
  <c r="L27" i="21"/>
  <c r="M27" i="21" s="1"/>
  <c r="K27" i="21"/>
  <c r="H27" i="21"/>
  <c r="W27" i="21" s="1"/>
  <c r="U26" i="21"/>
  <c r="X26" i="21" s="1"/>
  <c r="S26" i="21"/>
  <c r="R26" i="21"/>
  <c r="Q26" i="21"/>
  <c r="N26" i="21"/>
  <c r="O26" i="21" s="1"/>
  <c r="L26" i="21"/>
  <c r="M26" i="21" s="1"/>
  <c r="K26" i="21"/>
  <c r="H26" i="21"/>
  <c r="V26" i="21" s="1"/>
  <c r="U25" i="21"/>
  <c r="X25" i="21" s="1"/>
  <c r="S25" i="21"/>
  <c r="R25" i="21"/>
  <c r="Q25" i="21"/>
  <c r="P25" i="21"/>
  <c r="N25" i="21"/>
  <c r="O25" i="21" s="1"/>
  <c r="L25" i="21"/>
  <c r="M25" i="21" s="1"/>
  <c r="K25" i="21"/>
  <c r="H25" i="21"/>
  <c r="W24" i="21"/>
  <c r="U24" i="21"/>
  <c r="X24" i="21" s="1"/>
  <c r="S24" i="21"/>
  <c r="R24" i="21"/>
  <c r="Q24" i="21"/>
  <c r="N24" i="21"/>
  <c r="O24" i="21" s="1"/>
  <c r="L24" i="21"/>
  <c r="M24" i="21" s="1"/>
  <c r="K24" i="21"/>
  <c r="H24" i="21"/>
  <c r="V24" i="21" s="1"/>
  <c r="W23" i="21"/>
  <c r="U23" i="21"/>
  <c r="X23" i="21" s="1"/>
  <c r="S23" i="21"/>
  <c r="R23" i="21"/>
  <c r="Q23" i="21"/>
  <c r="N23" i="21"/>
  <c r="O23" i="21" s="1"/>
  <c r="L23" i="21"/>
  <c r="K23" i="21"/>
  <c r="H23" i="21"/>
  <c r="W22" i="21"/>
  <c r="U22" i="21"/>
  <c r="X22" i="21" s="1"/>
  <c r="S22" i="21"/>
  <c r="R22" i="21"/>
  <c r="Q22" i="21"/>
  <c r="N22" i="21"/>
  <c r="O22" i="21" s="1"/>
  <c r="M22" i="21"/>
  <c r="L22" i="21"/>
  <c r="P22" i="21" s="1"/>
  <c r="K22" i="21"/>
  <c r="H22" i="21"/>
  <c r="V22" i="21" s="1"/>
  <c r="U21" i="21"/>
  <c r="X21" i="21" s="1"/>
  <c r="S21" i="21"/>
  <c r="R21" i="21"/>
  <c r="Q21" i="21"/>
  <c r="N21" i="21"/>
  <c r="O21" i="21" s="1"/>
  <c r="L21" i="21"/>
  <c r="M21" i="21" s="1"/>
  <c r="K21" i="21"/>
  <c r="H21" i="21"/>
  <c r="W21" i="21" s="1"/>
  <c r="U20" i="21"/>
  <c r="X20" i="21" s="1"/>
  <c r="S20" i="21"/>
  <c r="R20" i="21"/>
  <c r="Q20" i="21"/>
  <c r="N20" i="21"/>
  <c r="O20" i="21" s="1"/>
  <c r="L20" i="21"/>
  <c r="M20" i="21" s="1"/>
  <c r="K20" i="21"/>
  <c r="H20" i="21"/>
  <c r="V20" i="21" s="1"/>
  <c r="U19" i="21"/>
  <c r="S19" i="21"/>
  <c r="R19" i="21"/>
  <c r="Q19" i="21"/>
  <c r="P19" i="21"/>
  <c r="N19" i="21"/>
  <c r="O19" i="21" s="1"/>
  <c r="L19" i="21"/>
  <c r="M19" i="21" s="1"/>
  <c r="K19" i="21"/>
  <c r="H19" i="21"/>
  <c r="V19" i="21" s="1"/>
  <c r="U18" i="21"/>
  <c r="X18" i="21" s="1"/>
  <c r="S18" i="21"/>
  <c r="R18" i="21"/>
  <c r="Q18" i="21"/>
  <c r="N18" i="21"/>
  <c r="O18" i="21" s="1"/>
  <c r="L18" i="21"/>
  <c r="M18" i="21" s="1"/>
  <c r="K18" i="21"/>
  <c r="H18" i="21"/>
  <c r="V18" i="21" s="1"/>
  <c r="U17" i="21"/>
  <c r="S17" i="21"/>
  <c r="R17" i="21"/>
  <c r="Q17" i="21"/>
  <c r="N17" i="21"/>
  <c r="O17" i="21" s="1"/>
  <c r="L17" i="21"/>
  <c r="M17" i="21" s="1"/>
  <c r="K17" i="21"/>
  <c r="H17" i="21"/>
  <c r="V17" i="21" s="1"/>
  <c r="U16" i="21"/>
  <c r="X16" i="21" s="1"/>
  <c r="S16" i="21"/>
  <c r="R16" i="21"/>
  <c r="Q16" i="21"/>
  <c r="N16" i="21"/>
  <c r="O16" i="21" s="1"/>
  <c r="L16" i="21"/>
  <c r="M16" i="21" s="1"/>
  <c r="K16" i="21"/>
  <c r="H16" i="21"/>
  <c r="V16" i="21" s="1"/>
  <c r="U15" i="21"/>
  <c r="S15" i="21"/>
  <c r="R15" i="21"/>
  <c r="Q15" i="21"/>
  <c r="P15" i="21"/>
  <c r="N15" i="21"/>
  <c r="O15" i="21" s="1"/>
  <c r="L15" i="21"/>
  <c r="M15" i="21" s="1"/>
  <c r="K15" i="21"/>
  <c r="H15" i="21"/>
  <c r="V15" i="21" s="1"/>
  <c r="U14" i="21"/>
  <c r="X14" i="21" s="1"/>
  <c r="S14" i="21"/>
  <c r="R14" i="21"/>
  <c r="Q14" i="21"/>
  <c r="N14" i="21"/>
  <c r="O14" i="21" s="1"/>
  <c r="L14" i="21"/>
  <c r="M14" i="21" s="1"/>
  <c r="K14" i="21"/>
  <c r="H14" i="21"/>
  <c r="V14" i="21" s="1"/>
  <c r="U13" i="21"/>
  <c r="S13" i="21"/>
  <c r="R13" i="21"/>
  <c r="Q13" i="21"/>
  <c r="N13" i="21"/>
  <c r="O13" i="21" s="1"/>
  <c r="L13" i="21"/>
  <c r="M13" i="21" s="1"/>
  <c r="K13" i="21"/>
  <c r="H13" i="21"/>
  <c r="V13" i="21" s="1"/>
  <c r="U12" i="21"/>
  <c r="X12" i="21" s="1"/>
  <c r="S12" i="21"/>
  <c r="R12" i="21"/>
  <c r="Q12" i="21"/>
  <c r="N12" i="21"/>
  <c r="O12" i="21" s="1"/>
  <c r="L12" i="21"/>
  <c r="M12" i="21" s="1"/>
  <c r="K12" i="21"/>
  <c r="H12" i="21"/>
  <c r="V12" i="21" s="1"/>
  <c r="U11" i="21"/>
  <c r="S11" i="21"/>
  <c r="R11" i="21"/>
  <c r="Q11" i="21"/>
  <c r="P11" i="21"/>
  <c r="N11" i="21"/>
  <c r="O11" i="21" s="1"/>
  <c r="L11" i="21"/>
  <c r="M11" i="21" s="1"/>
  <c r="K11" i="21"/>
  <c r="H11" i="21"/>
  <c r="V11" i="21" s="1"/>
  <c r="U10" i="21"/>
  <c r="X10" i="21" s="1"/>
  <c r="S10" i="21"/>
  <c r="R10" i="21"/>
  <c r="Q10" i="21"/>
  <c r="N10" i="21"/>
  <c r="O10" i="21" s="1"/>
  <c r="L10" i="21"/>
  <c r="M10" i="21" s="1"/>
  <c r="K10" i="21"/>
  <c r="H10" i="21"/>
  <c r="V10" i="21" s="1"/>
  <c r="U9" i="21"/>
  <c r="S9" i="21"/>
  <c r="S7" i="21" s="1"/>
  <c r="H30" i="19" s="1"/>
  <c r="R9" i="21"/>
  <c r="Q9" i="21"/>
  <c r="N9" i="21"/>
  <c r="O9" i="21" s="1"/>
  <c r="L9" i="21"/>
  <c r="M9" i="21" s="1"/>
  <c r="K9" i="21"/>
  <c r="H9" i="21"/>
  <c r="D6" i="21"/>
  <c r="D5" i="21"/>
  <c r="U12" i="22" l="1"/>
  <c r="I46" i="19"/>
  <c r="K46" i="19" s="1"/>
  <c r="K47" i="19" s="1"/>
  <c r="Y14" i="22"/>
  <c r="Y18" i="22"/>
  <c r="Y16" i="22"/>
  <c r="X33" i="22"/>
  <c r="F62" i="19" s="1"/>
  <c r="I62" i="19" s="1"/>
  <c r="M62" i="19" s="1"/>
  <c r="V9" i="21"/>
  <c r="Q7" i="21"/>
  <c r="H28" i="19" s="1"/>
  <c r="I11" i="22"/>
  <c r="H65" i="19" s="1"/>
  <c r="Y33" i="22"/>
  <c r="F60" i="19" s="1"/>
  <c r="I60" i="19" s="1"/>
  <c r="Z33" i="22"/>
  <c r="F61" i="19" s="1"/>
  <c r="M61" i="19" s="1"/>
  <c r="J11" i="22"/>
  <c r="X15" i="21"/>
  <c r="W15" i="21"/>
  <c r="W26" i="21"/>
  <c r="W12" i="21"/>
  <c r="W16" i="21"/>
  <c r="W20" i="21"/>
  <c r="X19" i="21"/>
  <c r="W19" i="21"/>
  <c r="P9" i="21"/>
  <c r="X9" i="21"/>
  <c r="W9" i="21"/>
  <c r="P13" i="21"/>
  <c r="X13" i="21"/>
  <c r="W13" i="21"/>
  <c r="P17" i="21"/>
  <c r="X17" i="21"/>
  <c r="W17" i="21"/>
  <c r="P21" i="21"/>
  <c r="W30" i="21"/>
  <c r="M31" i="21"/>
  <c r="G24" i="19" s="1" a="1"/>
  <c r="G24" i="19" s="1"/>
  <c r="I24" i="19" s="1"/>
  <c r="K24" i="19" s="1"/>
  <c r="P31" i="21"/>
  <c r="R7" i="21"/>
  <c r="H29" i="19" s="1"/>
  <c r="X11" i="21"/>
  <c r="W11" i="21"/>
  <c r="W10" i="21"/>
  <c r="W14" i="21"/>
  <c r="W18" i="21"/>
  <c r="P23" i="21"/>
  <c r="M23" i="21"/>
  <c r="V21" i="21"/>
  <c r="P24" i="21"/>
  <c r="P27" i="21"/>
  <c r="P33" i="21"/>
  <c r="P10" i="21"/>
  <c r="P12" i="21"/>
  <c r="P14" i="21"/>
  <c r="P16" i="21"/>
  <c r="P18" i="21"/>
  <c r="P20" i="21"/>
  <c r="V23" i="21"/>
  <c r="V6" i="21" s="1"/>
  <c r="G16" i="19" s="1"/>
  <c r="I16" i="19" s="1"/>
  <c r="I19" i="19" s="1"/>
  <c r="W28" i="21"/>
  <c r="W25" i="21"/>
  <c r="V25" i="21"/>
  <c r="V27" i="21"/>
  <c r="V29" i="21"/>
  <c r="V31" i="21"/>
  <c r="V33" i="21"/>
  <c r="P26" i="21"/>
  <c r="P28" i="21"/>
  <c r="P30" i="21"/>
  <c r="E28" i="19" l="1"/>
  <c r="H18" i="19"/>
  <c r="I18" i="19" s="1"/>
  <c r="I61" i="19"/>
  <c r="H64" i="19"/>
  <c r="E65" i="19" s="1"/>
  <c r="M60" i="19"/>
  <c r="V33" i="22"/>
  <c r="F58" i="19" s="1"/>
  <c r="I58" i="19" s="1"/>
  <c r="M58" i="19" s="1"/>
  <c r="AA33" i="22"/>
  <c r="F63" i="19" s="1"/>
  <c r="I63" i="19" s="1"/>
  <c r="M63" i="19" s="1"/>
  <c r="S33" i="22"/>
  <c r="F57" i="19" s="1"/>
  <c r="I57" i="19" s="1"/>
  <c r="M57" i="19" s="1"/>
  <c r="X7" i="21"/>
  <c r="U33" i="22"/>
  <c r="F56" i="19" s="1"/>
  <c r="T33" i="22"/>
  <c r="F55" i="19" s="1"/>
  <c r="I55" i="19" s="1"/>
  <c r="G39" i="19"/>
  <c r="G19" i="19"/>
  <c r="E19" i="19" s="1"/>
  <c r="I39" i="19" l="1"/>
  <c r="K35" i="19" s="1"/>
  <c r="K38" i="19" s="1"/>
  <c r="K39" i="19" s="1"/>
  <c r="K40" i="19" s="1"/>
  <c r="G26" i="19"/>
  <c r="H26" i="19" s="1"/>
  <c r="I26" i="19" s="1"/>
  <c r="I52" i="19"/>
  <c r="L11" i="32"/>
  <c r="I51" i="19"/>
  <c r="M55" i="19"/>
  <c r="M56" i="19"/>
  <c r="I56" i="19"/>
  <c r="M64" i="19" l="1"/>
  <c r="M14" i="32" s="1"/>
  <c r="K26" i="19"/>
  <c r="K31" i="19" s="1"/>
  <c r="M31" i="19" l="1"/>
  <c r="M42" i="19" s="1"/>
  <c r="M49" i="19" s="1"/>
  <c r="K42" i="19"/>
  <c r="M52" i="19" l="1"/>
  <c r="M51" i="19"/>
  <c r="K52" i="19" s="1"/>
  <c r="L12" i="32"/>
  <c r="K51" i="19" l="1"/>
  <c r="M81" i="19" s="1"/>
  <c r="M13" i="32"/>
  <c r="M83" i="19" l="1"/>
  <c r="M17" i="32" s="1"/>
  <c r="M16"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H8" authorId="0" shapeId="0" xr:uid="{00000000-0006-0000-0700-000001000000}">
      <text>
        <r>
          <rPr>
            <sz val="9"/>
            <rFont val="Tahoma"/>
            <family val="2"/>
          </rPr>
          <t xml:space="preserve">This is the production capacity which brings the activity into Part A(1) of Schedule 1 of the Environmental Permitting Regulations. 
Not all activities have thresholds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D3" authorId="0" shapeId="0" xr:uid="{00000000-0006-0000-1000-000001000000}">
      <text>
        <r>
          <rPr>
            <b/>
            <sz val="9"/>
            <rFont val="Tahoma"/>
            <family val="2"/>
          </rPr>
          <t>Alison.Soper:</t>
        </r>
        <r>
          <rPr>
            <sz val="9"/>
            <rFont val="Tahoma"/>
            <family val="2"/>
          </rPr>
          <t xml:space="preserve">
needs changing to the 4 that Mark has defined</t>
        </r>
      </text>
    </comment>
  </commentList>
</comments>
</file>

<file path=xl/sharedStrings.xml><?xml version="1.0" encoding="utf-8"?>
<sst xmlns="http://schemas.openxmlformats.org/spreadsheetml/2006/main" count="880" uniqueCount="506">
  <si>
    <t>Enw'r Gosodiad</t>
  </si>
  <si>
    <t>CinC</t>
  </si>
  <si>
    <t>Disgrifiad o’r Gweithgaredd</t>
  </si>
  <si>
    <t>C</t>
  </si>
  <si>
    <t>B</t>
  </si>
  <si>
    <t>2.1 Rhan A (1) a)</t>
  </si>
  <si>
    <t>2.1 Rhan A (1) c)</t>
  </si>
  <si>
    <t>2.1 Rhan A (1) d)</t>
  </si>
  <si>
    <t>2.3 Rhan A (1) a)</t>
  </si>
  <si>
    <t>5.3 Rhan A (1) a) (i)</t>
  </si>
  <si>
    <t>5.4 Rhan A (1) b) (iii)</t>
  </si>
  <si>
    <r>
      <rPr>
        <u/>
        <sz val="11"/>
        <color theme="1"/>
        <rFont val="Calibri"/>
        <family val="2"/>
      </rPr>
      <t xml:space="preserve">Dogfennau cyfeirio </t>
    </r>
    <r>
      <rPr>
        <sz val="11"/>
        <color theme="1"/>
        <rFont val="Calibri"/>
        <family val="2"/>
      </rPr>
      <t xml:space="preserve">Technoleg Orau sydd ar Gael </t>
    </r>
    <r>
      <rPr>
        <u/>
        <sz val="11"/>
        <color theme="1"/>
        <rFont val="Calibri"/>
        <family val="2"/>
      </rPr>
      <t xml:space="preserve">| </t>
    </r>
    <r>
      <rPr>
        <u/>
        <sz val="11"/>
        <color theme="1"/>
        <rFont val="Calibri"/>
        <family val="2"/>
      </rPr>
      <t>Eippcb</t>
    </r>
    <r>
      <rPr>
        <u/>
        <sz val="11"/>
        <color theme="1"/>
        <rFont val="Calibri"/>
        <family val="2"/>
      </rPr>
      <t xml:space="preserve"> (europa.eu)</t>
    </r>
  </si>
  <si>
    <t>Gweithgareddau rhestredig</t>
  </si>
  <si>
    <t>Amherthnasol</t>
  </si>
  <si>
    <t>Cymhlethdod</t>
  </si>
  <si>
    <t>Rhan A2 neu Ran B</t>
  </si>
  <si>
    <t>A</t>
  </si>
  <si>
    <t>Gweithgareddau atodlen</t>
  </si>
  <si>
    <t>1.2 Rhan A(2)(a)</t>
  </si>
  <si>
    <t>1.2 Rhan B a)</t>
  </si>
  <si>
    <t>1.2 Rhan B b)</t>
  </si>
  <si>
    <t>1.2 Rhan B c)</t>
  </si>
  <si>
    <t>1.1 Rhan B a)</t>
  </si>
  <si>
    <t>1.1 Rhan B b)</t>
  </si>
  <si>
    <t>1.1 Rhan B c) ii)</t>
  </si>
  <si>
    <t>1.1 Rhan B c) i)</t>
  </si>
  <si>
    <t>1.2 Rhan B d)</t>
  </si>
  <si>
    <t>2.1 Rhan A(2) (a)</t>
  </si>
  <si>
    <t>2.1 Rhan A(2) (b)</t>
  </si>
  <si>
    <t>2.1 Rhan A(2) (c)</t>
  </si>
  <si>
    <t>2.1 Rhan A(2) (d)</t>
  </si>
  <si>
    <t>2.1 Rhan B a)</t>
  </si>
  <si>
    <t>2.1 Rhan B b) i)</t>
  </si>
  <si>
    <t>2.1 Rhan B b) ii)</t>
  </si>
  <si>
    <t>Rheol 4</t>
  </si>
  <si>
    <t>Grŵp cyfuno</t>
  </si>
  <si>
    <t>Ie</t>
  </si>
  <si>
    <t>1.2 Rhan A(1) a)</t>
  </si>
  <si>
    <t>1.2 Rhan A (1) d)</t>
  </si>
  <si>
    <t>1.2 Rhan A(1) e) i)</t>
  </si>
  <si>
    <t>1.2 Rhan A(1) e) ii)</t>
  </si>
  <si>
    <t>1.2 Rhan A (1) f)</t>
  </si>
  <si>
    <t>1.2 Rhan A (1) g)</t>
  </si>
  <si>
    <t>2.2 Rhan A(1) a)</t>
  </si>
  <si>
    <t>2.2 Rhan A(1) c)</t>
  </si>
  <si>
    <t>3.1 Rhan A(1) b)</t>
  </si>
  <si>
    <t>3.2 Rhan A(1) a)</t>
  </si>
  <si>
    <t>3.2 Rhan A(1) b)</t>
  </si>
  <si>
    <t>3.3 Rhan A(1) a)</t>
  </si>
  <si>
    <t>3.4 Rhan A(1) a)</t>
  </si>
  <si>
    <t>3.6 Rhan A(1) a)</t>
  </si>
  <si>
    <t>4.2 Rhan A1 (a) i)</t>
  </si>
  <si>
    <t>4.2 Rhan A1 (a) ii)</t>
  </si>
  <si>
    <t>4.2 Rhan A1 (a) iii)</t>
  </si>
  <si>
    <t>4.2 Rhan A1 (a) iv)</t>
  </si>
  <si>
    <t>4.2 Rhan A1 (a) v)</t>
  </si>
  <si>
    <t>4.2 Rhan A1 (a) vi)</t>
  </si>
  <si>
    <t>4.2 Rhan A1 (b)</t>
  </si>
  <si>
    <t>4.2 Rhan A1 (c)</t>
  </si>
  <si>
    <t>4.2 Rhan A1 (d)</t>
  </si>
  <si>
    <t>4.2 Rhan A1 (e)</t>
  </si>
  <si>
    <t>4.2 Rhan A1 (f)</t>
  </si>
  <si>
    <t>4.7 Rhan A1 (a)</t>
  </si>
  <si>
    <t>5.1 Rhan A1 (b)</t>
  </si>
  <si>
    <t>5.1 Rhan A1 (c)</t>
  </si>
  <si>
    <t>5.3 Rhan A (1) a) (ii)</t>
  </si>
  <si>
    <t>5.3 Rhan A (1) a) (iii)</t>
  </si>
  <si>
    <t>5.3 Rhan A (1) a) (iv)</t>
  </si>
  <si>
    <t>5.3 Rhan A (1) a) (v)</t>
  </si>
  <si>
    <t>5.3 Rhan A (1) a) (viii)</t>
  </si>
  <si>
    <t>5.3 Rhan A (1) a) (x)</t>
  </si>
  <si>
    <t>5.4 Rhan A (1) a) (iii)</t>
  </si>
  <si>
    <t>5.4 Rhan A (1) a) (i)</t>
  </si>
  <si>
    <t>5.4 Rhan A (1) a) (ii)</t>
  </si>
  <si>
    <t>5.4 Rhan A (1) a) (iv)</t>
  </si>
  <si>
    <t>5.4 Rhan A (1) a) (v)</t>
  </si>
  <si>
    <t>5.4 Rhan A (1) b) (i)</t>
  </si>
  <si>
    <t>5.4 Rhan A (1) b) (ii)</t>
  </si>
  <si>
    <t>5.4 Rhan A (1) b) (iv)</t>
  </si>
  <si>
    <t>5.5 Rhan A (1) a)</t>
  </si>
  <si>
    <t>5.6 Rhan A (1) a)</t>
  </si>
  <si>
    <t>5.7 Rhan A (1) a)</t>
  </si>
  <si>
    <t>5.6 Rhan A (1) b)</t>
  </si>
  <si>
    <t>6.2 Rhan A (1) a)</t>
  </si>
  <si>
    <t>6.3 Rhan A (1) a) (i)</t>
  </si>
  <si>
    <t>6.3 Rhan A (1) a) (ii)</t>
  </si>
  <si>
    <t>6.4 Rhan A (1) a)</t>
  </si>
  <si>
    <t>6.8 Rhan A (1) a)</t>
  </si>
  <si>
    <t>6.8 Rhan A (1) b)</t>
  </si>
  <si>
    <t>6.8 Rhan A (1) c)</t>
  </si>
  <si>
    <t>6.8 Rhan A (1) d) i)</t>
  </si>
  <si>
    <t>6.8 Rhan A (1) d) ii)</t>
  </si>
  <si>
    <t>6.8 Rhan A (1) e)</t>
  </si>
  <si>
    <t>6.10 Rhan A (1) a)</t>
  </si>
  <si>
    <t>Bellach wedi'i gysylltu'n uniongyrchol â'r prif weithgareddau atodlen</t>
  </si>
  <si>
    <t>2.2 Rhan A(2) a)</t>
  </si>
  <si>
    <t>2.1 Rhan B c)</t>
  </si>
  <si>
    <t>2.1 Rhan B d) i)</t>
  </si>
  <si>
    <t>2.1 Rhan B d) ii)</t>
  </si>
  <si>
    <t>2.1 Rhan B d) iii)</t>
  </si>
  <si>
    <t>2.1 Rhan B e)</t>
  </si>
  <si>
    <t>2.3 Rhan A(2) a)</t>
  </si>
  <si>
    <t>3.1 Rhan A(2) a)</t>
  </si>
  <si>
    <t>2.2 Rhan B a)</t>
  </si>
  <si>
    <t>2.2 Rhan B b)</t>
  </si>
  <si>
    <t>2.2 Rhan B c)</t>
  </si>
  <si>
    <t>2.2 Rhan B d)</t>
  </si>
  <si>
    <t>2.2 Rhan B e)</t>
  </si>
  <si>
    <t>2.3 Rhan B a)</t>
  </si>
  <si>
    <t>3.1 Rhan B a)</t>
  </si>
  <si>
    <t>3.3 Rhan A(2) a)</t>
  </si>
  <si>
    <t>3.1 Rhan A(2) b)</t>
  </si>
  <si>
    <t>3.1 Rhan B b)</t>
  </si>
  <si>
    <t>3.1 Rhan B c)</t>
  </si>
  <si>
    <t>3.1 Rhan B d)</t>
  </si>
  <si>
    <t>3.5 Rhan A(2) a)</t>
  </si>
  <si>
    <t>3.3 Rhan B a)</t>
  </si>
  <si>
    <t>3.3 Rhan B b)</t>
  </si>
  <si>
    <t>3.3 Rhan B c)</t>
  </si>
  <si>
    <t>3.3 Rhan B d) i)</t>
  </si>
  <si>
    <t>3.3 Rhan B d) ii)</t>
  </si>
  <si>
    <t>3.3 Rhan B e)</t>
  </si>
  <si>
    <t>3.5 Rhan B a)</t>
  </si>
  <si>
    <t>3.5 Rhan B b) i)</t>
  </si>
  <si>
    <t>3.5 Rhan B b) ii)</t>
  </si>
  <si>
    <t>3.5 Rhan B b) iii)</t>
  </si>
  <si>
    <t>3.5 Rhan B c)</t>
  </si>
  <si>
    <t>3.5 Rhan B d)</t>
  </si>
  <si>
    <t>3.5 Rhan B e)</t>
  </si>
  <si>
    <t>3.5 Rhan B f)</t>
  </si>
  <si>
    <t>3.5 Rhan B g)</t>
  </si>
  <si>
    <t>3.6 Rhan A (2) a) i)</t>
  </si>
  <si>
    <t>3.6 Rhan A (2) a) ii)</t>
  </si>
  <si>
    <t>3.6 Rhan B a)</t>
  </si>
  <si>
    <t>3.6 Rhan B b)</t>
  </si>
  <si>
    <t>4.1 Rhan B a)</t>
  </si>
  <si>
    <t>4.1 Rhan B b)</t>
  </si>
  <si>
    <t>4.1 Rhan B c)</t>
  </si>
  <si>
    <t>5.1 Rhan A (2) a)</t>
  </si>
  <si>
    <t>5.1 Rhan A (2) b)</t>
  </si>
  <si>
    <t>5.1 Rhan A (2) c)</t>
  </si>
  <si>
    <t>4.1 Rhan B d)</t>
  </si>
  <si>
    <t>4.8 Rhan B a)</t>
  </si>
  <si>
    <t>5.1 Rhan B a)</t>
  </si>
  <si>
    <t>5.1 Rhan B b)</t>
  </si>
  <si>
    <t>6.1 Rhan A (2) a)</t>
  </si>
  <si>
    <t>6.4 Rhan A (2) a)</t>
  </si>
  <si>
    <t>6.3 Rhan B a) i)</t>
  </si>
  <si>
    <t>6.3 Rhan B a) ii)</t>
  </si>
  <si>
    <t>6.4 Rhan B a) i)</t>
  </si>
  <si>
    <t>6.4 Rhan B b)</t>
  </si>
  <si>
    <t>6.4 Rhan B a) ii)</t>
  </si>
  <si>
    <t>6.4 Rhan B a) iii)</t>
  </si>
  <si>
    <t>6.4 Rhan B a) iv)</t>
  </si>
  <si>
    <t>6.7 Rhan A (2) a)</t>
  </si>
  <si>
    <t>6.4 Rhan B c) i)</t>
  </si>
  <si>
    <t>6.4 Rhan B c) ii)</t>
  </si>
  <si>
    <t>6.4 Rhan B c) iii)</t>
  </si>
  <si>
    <t>6.6 Rhan B a) i)</t>
  </si>
  <si>
    <t>6.6 Rhan B a) ii)</t>
  </si>
  <si>
    <t>6.5 Rhan B a) i)</t>
  </si>
  <si>
    <t>6.5 Rhan B a) ii)</t>
  </si>
  <si>
    <t>6.8 Rhan A (2) a)</t>
  </si>
  <si>
    <t>6.7 Rhan B a) i)</t>
  </si>
  <si>
    <t>6.7 Rhan B a) ii)</t>
  </si>
  <si>
    <t>6.7 Rhan B b)</t>
  </si>
  <si>
    <t>6.8 Rhan B a)</t>
  </si>
  <si>
    <t>6.8 Rhan B b)</t>
  </si>
  <si>
    <t>7 Rhan B</t>
  </si>
  <si>
    <t>Proses gysylltiedig</t>
  </si>
  <si>
    <t>2.1 Rhan A (1) b) i neu ii</t>
  </si>
  <si>
    <t>TPY</t>
  </si>
  <si>
    <t>Cyfarpar_Hylosgi_Canolig_a_Generaduron_Penodedig</t>
  </si>
  <si>
    <t>1.1 Rhan B Cyfarpar_Hylosgi_Canolig_Atodlen 25A</t>
  </si>
  <si>
    <t>1.1 Rhan B Generaduron_Penodedig_Atodlen 25B</t>
  </si>
  <si>
    <t>1.1 Rhan B Cyfarpar Hylosgi Canolig a Generadur Penodedig _Atodlen 25 A a B</t>
  </si>
  <si>
    <t>5.1 Rhan B Cyfarpar Hylosgi Canolig a Generadur Penodedig – Atodlen 25A a B</t>
  </si>
  <si>
    <t>5.1 Rhan B Cyfarpar Hylosgi Canolig – Atodlen 25A</t>
  </si>
  <si>
    <t>5.1 Rhan B Generadur Penodedig – Atodlen 25B</t>
  </si>
  <si>
    <t>5 neu fwy</t>
  </si>
  <si>
    <t>IS</t>
  </si>
  <si>
    <t>CAM 5</t>
  </si>
  <si>
    <t>A yw eich cais yn cynnwys:</t>
  </si>
  <si>
    <t>LCP</t>
  </si>
  <si>
    <t>WT</t>
  </si>
  <si>
    <t>WTC</t>
  </si>
  <si>
    <t>Gweithgareddau eraill</t>
  </si>
  <si>
    <t>Canllawiau cyhoeddedig</t>
  </si>
  <si>
    <t>LFD</t>
  </si>
  <si>
    <t>Pa rai o'r gweithgareddau rheoledig sy'n sylfaenol ar gyfer eich gosodiad?</t>
  </si>
  <si>
    <t>NFM</t>
  </si>
  <si>
    <t>FMP</t>
  </si>
  <si>
    <t>STM</t>
  </si>
  <si>
    <t>OFC/LVOC</t>
  </si>
  <si>
    <t>CER</t>
  </si>
  <si>
    <t>WI</t>
  </si>
  <si>
    <t>LVIC-AAF</t>
  </si>
  <si>
    <t>SA</t>
  </si>
  <si>
    <t>TAN</t>
  </si>
  <si>
    <t>SIC/LVIC</t>
  </si>
  <si>
    <t>Ceisiadau newydd</t>
  </si>
  <si>
    <t>5.3 Rhan A (1) a) (vii) Adfer</t>
  </si>
  <si>
    <t>5.3 Rhan A (1) a) (vii) Gwaredu</t>
  </si>
  <si>
    <t>5.3 Rhan A(1) a) vi) Adfer</t>
  </si>
  <si>
    <t>5.3 Rhan A(1) a)(vi) Gwaredu</t>
  </si>
  <si>
    <t>5.3 Rhan A (1) a) (ix) Gwaredu</t>
  </si>
  <si>
    <t>5.3 Rhan A (1) a) (ix) Adfer</t>
  </si>
  <si>
    <t>5.3 Rhan A (1) a) (xi) Gwaredu</t>
  </si>
  <si>
    <t>5.3 Rhan A (1) a) (xi) Adfer</t>
  </si>
  <si>
    <t>Atodlen 25A – Cyfarpar Hylosgi Canolig cymhleth yn unig</t>
  </si>
  <si>
    <t>Atodlen 25B – Generadur Penodedig cymhleth yn unig</t>
  </si>
  <si>
    <t>Atodlen 25 A a B – Cyfarpar Hylosgi Canolig cymhleth a Generadur Penodedig cymhleth</t>
  </si>
  <si>
    <t>Atodlen 25 A a B – Cyfarpar Hylosgi Canolig syml a Generadur Penodedig cymhleth</t>
  </si>
  <si>
    <t>Atodlen 25 A a B – Cyfarpar Hylosgi Canolig cymhleth a Generadur Penodedig syml</t>
  </si>
  <si>
    <t>activity descriptor</t>
  </si>
  <si>
    <t>EPR sched ref</t>
  </si>
  <si>
    <t>Enw'r Gosodiad:</t>
  </si>
  <si>
    <t>TXT</t>
  </si>
  <si>
    <t>2.2 Rhan A(1) b) Cd/Pb</t>
  </si>
  <si>
    <t>2.2 Rhan A(1) b) NFM arall</t>
  </si>
  <si>
    <t>Trothwy yn y Rheoliadau Trwyddedu Amgylcheddol</t>
  </si>
  <si>
    <t>Band cymhlethdod OPRA</t>
  </si>
  <si>
    <t>m3</t>
  </si>
  <si>
    <t>3.1 Rhan A(1) a) odynau cylchdro</t>
  </si>
  <si>
    <t>3.1 Rhan A(1) a) odynau eraill</t>
  </si>
  <si>
    <t xml:space="preserve">4.3 Rhan A1 (a) </t>
  </si>
  <si>
    <t>5.3 Rhan A (1) a) (i) (AD)</t>
  </si>
  <si>
    <t>5.4 Rhan A (1) a) (i)(AD)</t>
  </si>
  <si>
    <t>5.4 Rhan A (1) b) (i)(AD)</t>
  </si>
  <si>
    <t>6.8 Rhan A (1) d) iii) aa)</t>
  </si>
  <si>
    <t>6.8 Rhan A (1) d) iii) bb)</t>
  </si>
  <si>
    <t>Nodiadau ar weithgareddau rhestredig</t>
  </si>
  <si>
    <t xml:space="preserve">Angen meddwl am sut i wneud papur, cyfanswm cynhwysedd y safle? </t>
  </si>
  <si>
    <t>Na</t>
  </si>
  <si>
    <t>Nifer y gweithgareddau y mae'r amrywiad hwn yn effeithio arnynt</t>
  </si>
  <si>
    <t>Gweithgaredd newydd</t>
  </si>
  <si>
    <t>Ydy hwn yn weithgaredd newydd?</t>
  </si>
  <si>
    <t>Rhestrwch yr holl weithgareddau y mae'r amrywiad hwn yn effeithio arnynt</t>
  </si>
  <si>
    <t>20% i 50%</t>
  </si>
  <si>
    <t>50% i 100%</t>
  </si>
  <si>
    <t>Dim cynnydd</t>
  </si>
  <si>
    <t>hyd at 20%</t>
  </si>
  <si>
    <t xml:space="preserve">1.2 Rhan A (1) c) </t>
  </si>
  <si>
    <t xml:space="preserve">1.2 Rhan A(1) b) </t>
  </si>
  <si>
    <t xml:space="preserve">4.1 Rhan A1 a) (i) </t>
  </si>
  <si>
    <t xml:space="preserve">4.1 Rhan A1 a) (ii) </t>
  </si>
  <si>
    <t xml:space="preserve">4.1 Rhan A1 a) (iii) </t>
  </si>
  <si>
    <t xml:space="preserve">4.1 Rhan A1 a) (iv) </t>
  </si>
  <si>
    <t xml:space="preserve">4.1 Rhan A1 a) (v) </t>
  </si>
  <si>
    <t xml:space="preserve">4.1 Rhan A1 a) (vi) </t>
  </si>
  <si>
    <t xml:space="preserve">4.1 Rhan A1 a) (vii) </t>
  </si>
  <si>
    <t xml:space="preserve">4.1 Rhan A1 a) (viii) </t>
  </si>
  <si>
    <t xml:space="preserve">4.1 Rhan A1 a) (ix) </t>
  </si>
  <si>
    <t xml:space="preserve">4.1 Rhan A1 a) (x) </t>
  </si>
  <si>
    <t>4.1 Rhan A1 a) (xi)</t>
  </si>
  <si>
    <t xml:space="preserve">4.4 Rhan A1 (a) </t>
  </si>
  <si>
    <t>4.5 Rhan A1 (a)</t>
  </si>
  <si>
    <t>4.6 Rhan A1 (a)</t>
  </si>
  <si>
    <t xml:space="preserve">5.1 Rhan A1 (a) </t>
  </si>
  <si>
    <t xml:space="preserve">5.2 Rhan A1 (a) </t>
  </si>
  <si>
    <t xml:space="preserve">6.1 Rhan A (1) a) </t>
  </si>
  <si>
    <t xml:space="preserve">6.1 Rhan A (1) b) </t>
  </si>
  <si>
    <t>Cyfeirnod Atodlen 1 Rhan A(1)</t>
  </si>
  <si>
    <t>Cynhwysedd newydd</t>
  </si>
  <si>
    <t xml:space="preserve">1.1 Rhan A (1) a) (i) </t>
  </si>
  <si>
    <t>Cwestiwn ychwanegol ar gyfer Cyfarpar Hylosgi Mawr Pennod III</t>
  </si>
  <si>
    <t>Casgliadau Technoleg Orau sydd ar Gael eraill</t>
  </si>
  <si>
    <t>bydd / na fydd</t>
  </si>
  <si>
    <t>Cofnodion gweithgareddau eraill</t>
  </si>
  <si>
    <t>Cyfanswm gweithgareddau eraill</t>
  </si>
  <si>
    <t>Asesiad Cyfarwyddeb Fframwaith Dŵr o elifiant prosesau</t>
  </si>
  <si>
    <t>Taliadau a godir fesul asesiad</t>
  </si>
  <si>
    <t>Os ydych yn gweithredu odyn sment, a yw'r newid hwn yn effeithio ar y gweithgaredd cyd-losgi?</t>
  </si>
  <si>
    <t>A yw hwn yn amrywiad mawr yn seiliedig ar gynnydd trothwy?</t>
  </si>
  <si>
    <t>Adran amrywiad sylweddol (uchod)</t>
  </si>
  <si>
    <t>CAM 2 – maint y newidiadau</t>
  </si>
  <si>
    <t>A ydych yn ceisio rhanddirymiad o gasgliadau Technoleg Orau sydd ar Gael fel rhan o'ch cais am amrywiad?</t>
  </si>
  <si>
    <t>Cynnydd mewn trwybwn</t>
  </si>
  <si>
    <t>Maint y newid yn erbyn y trothwy</t>
  </si>
  <si>
    <t>Cwestiwn 3</t>
  </si>
  <si>
    <t>Os ydych yn gwneud cais i amrywio eich trwydded, a ydych hefyd am gyfuno amrywiadau blaenorol yn un ddogfen?</t>
  </si>
  <si>
    <t>Gweithgareddau Rhestredig – Amrywiadau</t>
  </si>
  <si>
    <t>Gwybodaeth / canllawiau</t>
  </si>
  <si>
    <r>
      <rPr>
        <b/>
        <sz val="11"/>
        <color rgb="FF000000"/>
        <rFont val="Calibri"/>
        <family val="2"/>
      </rPr>
      <t xml:space="preserve">Noder: </t>
    </r>
    <r>
      <rPr>
        <sz val="11"/>
        <color rgb="FF000000"/>
        <rFont val="Calibri"/>
        <family val="2"/>
      </rPr>
      <t xml:space="preserve"> Bydd cynlluniau/adroddiadau tirlenwi benodol fel y rhestrir yn Atodiad 7 Rhan B3 y ffurflen gais yn destun taliadau amser a deunyddiau</t>
    </r>
  </si>
  <si>
    <t>Gweithgareddau newydd  eraill / sydd wedi’u newid</t>
  </si>
  <si>
    <t>Dewiswch y Cyfeirnod Atodlen Rheoliadau Trwyddedu Amgylcheddol perthnasol neu’r disgrifiad gweithgaredd perthnasol o'r gwymplen isod</t>
  </si>
  <si>
    <t>hourly charge</t>
  </si>
  <si>
    <t>Mae angen rheolaeth dechnegol gymhwysol ar gyfer rhai gweithgareddau gwastraff lle mai nhw yw’r prif weithgaredd ar y safle</t>
  </si>
  <si>
    <t>Byddwch yn cyflawni gweithgareddau Rhan A(1) newydd lle nad oes dogfen gyfeirio Technoleg Orau sydd ar Gael na chanllawiau technegol ar eu cyfer</t>
  </si>
  <si>
    <t>Amrywiadau – sylweddol ac arferol</t>
  </si>
  <si>
    <t>Nifer y gweithgareddau</t>
  </si>
  <si>
    <t>CAM 1 – A yw hwn yn amrywiad sylweddol?</t>
  </si>
  <si>
    <t>A fydd y newid hwn yn ychwanegu gweithgareddau sy'n dod o dan Bennod V y Gyfarwyddeb Allyriadau Diwydiannol (allyriadau toddyddion)?</t>
  </si>
  <si>
    <t>A fydd y newid hwn yn dod â'ch gweithgaredd o dan Bennod III o'r Gyfarwyddeb Allyriadau Diwydiannol (Cyfarpar Hylosgi Mawr)?</t>
  </si>
  <si>
    <t>Trosglwyddiadau</t>
  </si>
  <si>
    <t>A yw hwn yn weithgaredd newydd neu'n newid i un sy'n bodoli eisoes?</t>
  </si>
  <si>
    <t>new/change</t>
  </si>
  <si>
    <t>Asesiad effaith modelu allyriadau llwch neu allyriadau sy’n ffoi llawn (lle nad yw’n rhan o fodelu gwasgariad aer)</t>
  </si>
  <si>
    <t>Asesiad Dyddodi Gwastraff at Ddibenion Adfer</t>
  </si>
  <si>
    <t>Taliadau ychwanegol</t>
  </si>
  <si>
    <r>
      <rPr>
        <b/>
        <sz val="11"/>
        <color theme="1"/>
        <rFont val="Calibri"/>
        <family val="2"/>
      </rPr>
      <t>taliadau wedi'u c</t>
    </r>
    <r>
      <rPr>
        <b/>
        <sz val="11"/>
        <color theme="1"/>
        <rFont val="Calibri"/>
        <family val="2"/>
      </rPr>
      <t>apio</t>
    </r>
  </si>
  <si>
    <t>Beth yw’r cynhwysedd a ganiateir ar gyfer eich gweithgaredd ar hyn o bryd?</t>
  </si>
  <si>
    <t>Y cynhwysedd gweithgaredd cyfredol yn eich trwydded</t>
  </si>
  <si>
    <t>maint y newid yn erbyn yr hyn sydd ohoni</t>
  </si>
  <si>
    <t xml:space="preserve">Os yw'r amrywiad hwn yn ymwneud â gweithgaredd tirlenwi, a yw hwn yn amrywiad i symud i gau safle? </t>
  </si>
  <si>
    <t xml:space="preserve">disgrifiad </t>
  </si>
  <si>
    <t>gweithgaredd newydd</t>
  </si>
  <si>
    <t>cynhwysedd newydd</t>
  </si>
  <si>
    <t xml:space="preserve">Rhowch y cynhwysedd gweithgaredd newydd </t>
  </si>
  <si>
    <t>gwiriad disgrifydd ar goll</t>
  </si>
  <si>
    <t>Gwiriad gweithgaredd newydd ar goll</t>
  </si>
  <si>
    <t xml:space="preserve">gwiriad cynhwysedd newydd ar goll </t>
  </si>
  <si>
    <t>Initial Band</t>
  </si>
  <si>
    <t>Rhif y Drwydded:</t>
  </si>
  <si>
    <t xml:space="preserve">Bydd hwn yn dangos yn awtomatig y trothwy yn y rheoliadau. </t>
  </si>
  <si>
    <t>Noder:</t>
  </si>
  <si>
    <t>Bydd hyn yn dangos yr unedau ar gyfer y cynhwysedd yn awtomatig</t>
  </si>
  <si>
    <t>Cwestiwn 1</t>
  </si>
  <si>
    <t>Bydd hyn yn dangos yn awtomatig pa ddogfen casgliadau Technoleg Orau sydd ar Gael (os o gwbl) sy'n berthnasol i'r gweithgaredd</t>
  </si>
  <si>
    <t>Rheoliadau Diogelu'r Amgylchedd (Diwygiadau Amrywiol) (Cymru a Lloegr) 2018 (legislation.gov.uk)</t>
  </si>
  <si>
    <t>Gweithgareddau gwastraff uniongyrchol gysylltiedig nad yw o dan adran 5.1 – 5.7 o Atodlen 1 i'r Rheoliadau Trwyddedu Amgylcheddol</t>
  </si>
  <si>
    <t>Os yw eich Cyfarpar Hylosgi Canolig hefyd yn weithgaredd Rhan B, dim ond unwaith o dan yr opsiwn "Rhan B Cyfarpar Hylosgi Canolig a/neu Eneradur Penodedig" y bydd angen i chi gofnodi'r gweithgaredd.</t>
  </si>
  <si>
    <t>Rhowch ddisgrifiad o'r gweithgaredd</t>
  </si>
  <si>
    <t xml:space="preserve">Nodiadau </t>
  </si>
  <si>
    <t>PCC</t>
  </si>
  <si>
    <t xml:space="preserve">byddaf / na fyddaf </t>
  </si>
  <si>
    <t xml:space="preserve"> taliadau fesul gweithgaredd</t>
  </si>
  <si>
    <t>Gwybodaeth am unrhyw asesiadau ychwanegol y mae'n ofynnol i chi eu cyflwyno gyda'ch cais</t>
  </si>
  <si>
    <t>Gweithgareddau_gwastraff_uniongyrchol_gysylltiedig</t>
  </si>
  <si>
    <t>Mae ond angen i chi gofnodi Gweithgareddau sy’n Uniongyrchol Gysylltiedig sy'n weithgareddau gwastraff y byddai angen Trwydded Amgylcheddol arnynt os nad oeddent yn rhan o'ch gosodiad</t>
  </si>
  <si>
    <t>Part A(2) or Part B</t>
  </si>
  <si>
    <t>MCP /SG</t>
  </si>
  <si>
    <t>Part B MCP / SG</t>
  </si>
  <si>
    <t>DAA Waste</t>
  </si>
  <si>
    <t>NEW</t>
  </si>
  <si>
    <t>CHANGED</t>
  </si>
  <si>
    <t>Cyfarpar Hylosgi Canolig Cymhleth newydd a/neu Eneraduron Penodedig wedi'u cynnwys yn eich cais</t>
  </si>
  <si>
    <t>Cyfarpar Hylosgi Canolig newydd a/neu Eneraduron Penodol sydd hefyd yn weithgareddau hylosgi neu losgi Rhan B</t>
  </si>
  <si>
    <t>Nifer y gweithgareddau Atodlen 1 Rhan A(2) a/neu Ran B newydd eraill sydd wedi'u cynnwys yn eich cais</t>
  </si>
  <si>
    <t>Nifer y Gweithgareddau Gwastraff Uniongyrchol Gysylltiedig newydd sydd wedi'u cynnwys yn eich ceisiadau (nid y gweithgareddau a restrir o dan 5.1 – 5.7 Rhan A(1) o'r Rheoliadau Trwyddedu Amgylcheddol)</t>
  </si>
  <si>
    <t>Cyfarpar Hylosgi Canolig Cymhleth wedi'i Newid a/neu Eneraduron Penodedig wedi'u cynnwys yn eich cais</t>
  </si>
  <si>
    <t>Cyfarpar Hylosgi Canolig wedi’i Newid a/neu Eneraduron Penodedig sydd hefyd yn weithgareddau hylosgi neu losgi Rhan B</t>
  </si>
  <si>
    <t>Nifer y gweithgareddau Atodlen 1 Rhan A(2) a/neu Ran B eraill a newidiwyd sydd wedi'u cynnwys yn eich cais</t>
  </si>
  <si>
    <t>Nifer y Gweithgareddau Gwastraff Uniongyrchol Gysylltiedig a newidiwyd sydd wedi'u cynnwys yn eich ceisiadau (nid y gweithgareddau a restrir o dan 5.1 – 5.7 Rhan A(1) o'r Rheoliadau Trwyddedu Amgylcheddol)</t>
  </si>
  <si>
    <t>Dewiswch Ran A2 neu Ran B, neu Gyfarpar Hylosgi Canolig neu Eneradur Penodedig neu Wastraff sy’n Gysylltiedig yn Uniongyrchol o'r gwymplen isod</t>
  </si>
  <si>
    <t>Y band taliadau sylfaenol ar gyfer y cais amrywio hwn yw:</t>
  </si>
  <si>
    <t>Sylweddol</t>
  </si>
  <si>
    <t>Defnyddiwch y gwymplen i nodi a yw'r gweithgaredd yn newydd</t>
  </si>
  <si>
    <t xml:space="preserve">Nodwch uchafswm cynhwysedd eich proses, fel a ganiateir yn eich trwydded gyfredol, yn yr un unedau a ddisgrifir yn Atodlen 1 i’r Rheoliadau Trwyddedu Amgylcheddol. </t>
  </si>
  <si>
    <t>L</t>
  </si>
  <si>
    <t>P</t>
  </si>
  <si>
    <t>O</t>
  </si>
  <si>
    <t xml:space="preserve">Bydd hyn yn dangos yn awtomatig a ydych yn gweithredu gweithgaredd nad yw'n perthyn i un o'r dogfennau Technoleg Orau sydd ar Gael a gyhoeddwyd, neu ddogfennau Canllawiau Technegol derbyniol. </t>
  </si>
  <si>
    <t>H, I</t>
  </si>
  <si>
    <t xml:space="preserve">Defnyddiwch y cwymplenni yng ngholofnau H ac I i nodi'r gweithgareddau "eraill" perthnasol sy'n rhan o'r amrywiad hwn. Mae’r rhain i gyd yn weithgareddau a fyddai angen eu trwydded eu hunain pe na baent yn rhan o’r gosodiad, naill ai gan CNC neu gan eich awdurdod lleol. Rydym yn codi cyfran o’r ffi ymgeisio i dalu am y gwaith penderfynu ychwanegol ar gyfer y gweithgareddau hyn. </t>
  </si>
  <si>
    <t>Defnyddiwch y gwymplen i nodi a yw hwn yn weithgaredd newydd sy'n cael ei ychwanegu at eich trwydded, neu'n newid i weithgaredd sy'n bodoli eisoes.</t>
  </si>
  <si>
    <t xml:space="preserve">Cam 1 </t>
  </si>
  <si>
    <t>Cam 2</t>
  </si>
  <si>
    <t>Mae cwestiynau 2, 3 a 4 yn cael eu cwblhau'n awtomatig o'r wybodaeth a roesoch ar daflenni blaenorol</t>
  </si>
  <si>
    <t>Camau 3 a 4</t>
  </si>
  <si>
    <t xml:space="preserve">Cam 5 </t>
  </si>
  <si>
    <t>Cam 6</t>
  </si>
  <si>
    <t xml:space="preserve">Dyma lle byddwch yn nodi'r asesiadau ychwanegol yr ydych yn eu cyflwyno fel rhan o'ch cais am amrywiad. Bydd yr asesiad risg sgrinio a wnewch yn dangos pryd mae angen pob un o'r asesiadau hyn er mwyn i ni allu penderfynu ar eich cais am drwydded. </t>
  </si>
  <si>
    <t>Ildio</t>
  </si>
  <si>
    <t>Llawn</t>
  </si>
  <si>
    <t>Rhan</t>
  </si>
  <si>
    <t>Rhowch fanylion cryno am y newidiadau yr ydych yn eu gwneud neu'r rhannau o'r gosodiad y bydd y cais amrywio hwn yn effeithio arnynt</t>
  </si>
  <si>
    <t>Codi taliadau am osodiadau pan wneir cais amrywio o dan y Rheoliadau Trwyddedu Amgylcheddol</t>
  </si>
  <si>
    <t>Math o amrywiad</t>
  </si>
  <si>
    <t xml:space="preserve">Band taliadau </t>
  </si>
  <si>
    <t>Gweithgareddau Atodlen 1 Rhan A(2) a Rhan B, Cyfarpar Hylosgi Canolig, Generadur Penodedig a Gwastraff sy’n Uniongyrchol Gysylltiedig</t>
  </si>
  <si>
    <t>Rhestr o Weithgareddau/Prosesau Atodlen Rhan (A) 2 a Rhan B y Rheoliadau Trwyddedu Amgylcheddol, Cyfarpar Hylosgi Canolig, Generadur Penodedig a Gwastraff sy’n Uniongyrchol Gysylltiedig sydd wedi'u cynnwys yn y Gosodiad</t>
  </si>
  <si>
    <t xml:space="preserve">Dim ond os yw'r newidiadau sydd wedi arwain at y cais amrywio hwn wedi cael effaith arnynt y mae angen i chi nodi gweithgareddau yn yr adran hon. </t>
  </si>
  <si>
    <t>Canllawiau ar Newid Sylweddol</t>
  </si>
  <si>
    <r>
      <rPr>
        <b/>
        <sz val="11"/>
        <color theme="1"/>
        <rFont val="Calibri"/>
        <family val="2"/>
      </rPr>
      <t xml:space="preserve">Defnyddir y codau lliw isod yn yr offeryn i'ch helpu i weld beth sydd angen i chi ei wneud – Dim ond mewn celloedd gwyn y mae angen i chi roi gwybodaeth neu dewiswch opsiwn o </t>
    </r>
    <r>
      <rPr>
        <b/>
        <sz val="11"/>
        <color theme="1"/>
        <rFont val="Calibri"/>
        <family val="2"/>
      </rPr>
      <t>gwymplen</t>
    </r>
    <r>
      <rPr>
        <b/>
        <sz val="11"/>
        <color theme="1"/>
        <rFont val="Calibri"/>
        <family val="2"/>
      </rPr>
      <t xml:space="preserve"> las. </t>
    </r>
    <r>
      <rPr>
        <b/>
        <sz val="11"/>
        <color theme="1"/>
        <rFont val="Calibri"/>
        <family val="2"/>
      </rPr>
      <t xml:space="preserve">Mae popeth arall yn cael ei gwblhau'n awtomatig </t>
    </r>
  </si>
  <si>
    <t>Amrywiadau</t>
  </si>
  <si>
    <t xml:space="preserve">Cyfanswm y taliadau </t>
  </si>
  <si>
    <t>Band 4 pwrpasol</t>
  </si>
  <si>
    <t>Band 3 pwrpasol</t>
  </si>
  <si>
    <t>Bydd un ateb cadarnhaol yn yr adran Cymhlethdod Uwch yn symud y cais hyd at Fand 3 o leiaf; os yw eisoes ym Mand 3, bydd yn symud i Fand 4</t>
  </si>
  <si>
    <t>Mae angen dau ateb cadarnhaol neu ddogfen casgliadau Technoleg Orau sydd ar Gael ychwanegol i symud cais Band 2 neu 3 i'r band nesaf.  (er y bydd ateb cadarnhaol i gwestiwn Rheoli Peryglon Damweiniau Mawr (COMAH) yn tynnu un yn ôl ar y pwynt hwn)</t>
  </si>
  <si>
    <t>Cwestiwn 2</t>
  </si>
  <si>
    <t>cut off scores for bands</t>
  </si>
  <si>
    <t>Nifer y dogfennau casgliadau Technoleg Orau sydd ar Gael  "eraill"</t>
  </si>
  <si>
    <t>Nifer y dogfennau casgliadau Technoleg Orau sydd ar Gael</t>
  </si>
  <si>
    <t>Nifer y gweithgareddau yr effeithir arnynt</t>
  </si>
  <si>
    <t>&gt;25% o gynnydd mewn cynhwysedd</t>
  </si>
  <si>
    <t>&lt;4</t>
  </si>
  <si>
    <t>4 i 6</t>
  </si>
  <si>
    <t xml:space="preserve">Band 4 </t>
  </si>
  <si>
    <t>7 i 9</t>
  </si>
  <si>
    <t>&gt;9</t>
  </si>
  <si>
    <t>Angen Rheolaeth Dechnegol Gymhwysol</t>
  </si>
  <si>
    <t xml:space="preserve">bydd / na fydd </t>
  </si>
  <si>
    <t>Newydd</t>
  </si>
  <si>
    <t>Wedi'i newid</t>
  </si>
  <si>
    <t>Defnyddiwch y gwymplen i nodi pa weithgaredd yw'r prif weithgaredd ar eich safle. Gallwch ddewis mwy nag un gweithgaredd ar gyfer hyn</t>
  </si>
  <si>
    <t>Bydd un ateb cadarnhaol neu ddogfen casgliadau Technoleg Orau sydd ar Gael ychwanegol yn symud cais Band 1 i Fand 2</t>
  </si>
  <si>
    <t xml:space="preserve"> Gweithgareddau Rhestredig – Amrywiadau </t>
  </si>
  <si>
    <t>Gweithgareddau eraill – amrywiadau</t>
  </si>
  <si>
    <t xml:space="preserve">Nodwch uchafswm cynhwysedd eich proses ar ôl yr amrywiad, hyd yn oed os nad yw'n newid.  Os bydd y cynhwysedd yn cynyddu o swm sydd o leiaf yn hafal i’r trothwy sy’n dod â’r gweithgaredd i Ran A1 o’r rheoliadau, yna bydd hyn yn gwneud eich cais yn Amrywiad Sylweddol. </t>
  </si>
  <si>
    <t>Rhif y Drwydded</t>
  </si>
  <si>
    <t>Rhowch ddisgrifiad o'r gweithgaredd – er enghraifft, "Toddi alwminiwm mewn pedair ffwrnais"</t>
  </si>
  <si>
    <t xml:space="preserve">Defnyddiwch y gwymplen i ddewis y gweithgareddau a restrir y mae'r newidiadau sy'n arwain at y cais hwn am amrywiad yn effeithio arnynt. Cynhwyswch unrhyw weithgareddau newydd sy'n cael eu hychwanegu. Os oes gennych chi sawl llinell wahanol yn cyflawni'r gweithgaredd, dim ond unwaith y bydd angen i chi gofnodi'r gweithgaredd. Mae hyn yn wahanol i offeryn OPRA, lle'r oedd yn rhaid cynnwys pob llinell.  Os ydych yn gwneud cais i gyfuno nifer o amrywiadau blaenorol mewn un drwydded, cynhwyswch yr holl weithgareddau Rhan A(1) a restrir ar eich gosodiad. </t>
  </si>
  <si>
    <t xml:space="preserve">Bydd hyn yn dangos yn awtomatig a oes angen i chi gael Rheolaeth Dechnegol Gymhwysol ar gyfer unrhyw un o'ch gweithgareddau. Mae hyn yn berthnasol i rai gweithgareddau rheoli gwastraff lle maent yn brif weithgaredd ar y gosodiad. (gweler Rhan 3 o Atodlen 9 y Rheoliadau Trwyddedu Amgylcheddol, dolen isod) </t>
  </si>
  <si>
    <t>Band 1 pwrpasol</t>
  </si>
  <si>
    <t xml:space="preserve">ydy / nac ydy </t>
  </si>
  <si>
    <t xml:space="preserve">Os eich unig newid yw ychwanegu gweithgaredd Cyfarpar Hylosgi Canolig, Generadur Penodedig neu Wastraff at drwydded Gosodiad, ni ddylech ddefnyddio'r offeryn hwn i gyfrifo'r ffi amrywio. Defnyddiwch y ffurflen ar gyfer y drefn benodol. </t>
  </si>
  <si>
    <r>
      <rPr>
        <sz val="11"/>
        <color rgb="FF000000"/>
        <rFont val="Calibri"/>
        <family val="2"/>
      </rPr>
      <t xml:space="preserve">Sawl dogfen casgliadau Technoleg Orau sydd ar Gael neu Nodiadau Cyfarwyddyd Technegol sydd </t>
    </r>
    <r>
      <rPr>
        <b/>
        <sz val="11"/>
        <color theme="1"/>
        <rFont val="Calibri"/>
        <family val="2"/>
      </rPr>
      <t>heb</t>
    </r>
    <r>
      <rPr>
        <sz val="11"/>
        <color theme="1"/>
        <rFont val="Calibri"/>
        <family val="2"/>
      </rPr>
      <t xml:space="preserve"> eu rhestri yng ngholofn L y tab "Gweithgareddau rhestredig – amrywiadau" sydd hefyd yn berthnasol i'ch gweithgareddau NEWYDD, e.e. trin nwy gwastraff ar gyfer y sector cemegol?</t>
    </r>
  </si>
  <si>
    <t>Nifer y dogfennau casgliadau Technoleg Orau sydd ar Gael a fydd yn uniongyrchol berthnasol i'r gweithgareddau a restrir (fel y dangosir yng ngholofn L y tab "Gweithgareddau rhestredig – amrywiadau”)</t>
  </si>
  <si>
    <t xml:space="preserve">Nifer y gweithgareddau Atodlen 1 Rhan A (1) newydd sy'n cael eu hychwanegu at eich trwydded </t>
  </si>
  <si>
    <t xml:space="preserve">Dolen i Nodyn Cyfarwyddyd Rheoleiddio (RGN) 8 – Ein canllawiau ar yr hyn sy'n gwneud newid yn "Sylweddol" </t>
  </si>
  <si>
    <t>Mae eich newid yn effeithio ar weithgaredd llosgi gwastraff (Atodlen 1, 5.1 Rhan A(1) y Rheoliadau Trwyddedu Amgylcheddol)</t>
  </si>
  <si>
    <t>Mae eich newid yn ychwanegu gweithgaredd dal carbon (gweithgaredd Atodlen 1, 6.10 Rhan A(1) y Rheoliadau Trwyddedu Amgylcheddol)</t>
  </si>
  <si>
    <r>
      <rPr>
        <b/>
        <sz val="11"/>
        <color theme="1"/>
        <rFont val="Calibri"/>
        <family val="2"/>
      </rPr>
      <t xml:space="preserve">CAM 3 </t>
    </r>
    <r>
      <rPr>
        <b/>
        <sz val="11"/>
        <color theme="1"/>
        <rFont val="Calibri"/>
        <family val="2"/>
      </rPr>
      <t>–</t>
    </r>
    <r>
      <rPr>
        <b/>
        <sz val="11"/>
        <color theme="1"/>
        <rFont val="Calibri"/>
        <family val="2"/>
      </rPr>
      <t xml:space="preserve"> ffactorau cymhlethdod </t>
    </r>
  </si>
  <si>
    <t xml:space="preserve">A fyddwch chi'n dechrau mewnforio gwastraff peryglus i'w storio a/neu ei drin? </t>
  </si>
  <si>
    <t>A fydd y newid hwn yn dod â'ch safle o dan y Rheoliadau Rheoli Peryglon Damweiniau Mawr (COMAH)? (bydd gostyngiad yn cael ei gymhwyso i sgôr yr adran hon ar gyfer safleoedd Rheoli Peryglon Damweiniau Mawr (COMAH))</t>
  </si>
  <si>
    <t>Defnyddiwch y gwymplen i ateb cwestiwn 1 am unrhyw ddogfennau casgliadau Technoleg Orau sydd ar Gael ychwanegol sy'n berthnasol i'r gweithgareddau rydych chi'n eu hychwanegu neu'n eu newid fel rhan o'r amrywiad hwn. Er enghraifft, trin nwy gwastraff ar gyfer gwaith cemegol. Cynhwyswch y rhai yr ydych yn cyfeirio atynt yn y cais yn unig.</t>
  </si>
  <si>
    <t xml:space="preserve">Defnyddiwch y cwymplenni yn y blychau glas i ateb y cwestiynau am agweddau ar eich amrywiad sy'n gwneud y cais yn fwy cymhleth i'w benderfynu. Mae'r cwestiynau brown yn cael eu cwblhau'n awtomatig </t>
  </si>
  <si>
    <t xml:space="preserve">Ar ôl i chi gwblhau'r adran hon, bydd yr offeryn yn cyfrifo'r band taliadau sylfaenol ar gyfer eich cais.  Mae hyn yn seiliedig ar nifer y gweithgareddau rhestredig yr effeithir arnynt gan yr amrywiad, maint y newid, a nifer y ffactorau cymhlethdod ychwanegol. Bydd ateb cadarnhaol yng Ngham 4 yn gosod eich cais yn awtomatig ym Mand 3 o leiaf, i adlewyrchu faint o waith sydd ei angen ar gyfer y mathau hyn o benderfyniadau. </t>
  </si>
  <si>
    <t>Cwblheir yr adran hon yn awtomatig o wybodaeth a roesoch ar y daflen flaenorol am weithgareddau eraill yr effeithir arnynt gan y newidiadau sy'n arwain at y cais am amrywiad.</t>
  </si>
  <si>
    <t xml:space="preserve">Mae'r cydrannau ychwanegol yn cael eu hychwanegu at eich taliadau sylfaenol i gyfrifo cyfanswm y taliadau y mae angen i chi ei dalu ac fe'i dangosir ar waelod y daflen hon. Bydd yr wybodaeth hon hefyd yn ymddangos ar y dudalen ragarweiniol. </t>
  </si>
  <si>
    <t xml:space="preserve">Gosodiad: </t>
  </si>
  <si>
    <t>Atebwch bob cwestiwn yn y blychau glas o Gamau 1 i 6 isod. 
Mae'r blychau brown yn cael eu llenwi'n awtomatig o'r wybodaeth a ddarparwyd gennych ar y tudalennau blaenorol.
Bydd Cam 1 yn nodi a yw eich cais am amrywiad arferol neu sylweddol, mae Camau 2 i 4 yn pennu'r band cymhlethdod cywir, ac mae Camau 5 a 6 yn ychwanegu taliadau sefydlog ar gyfer gweithgareddau eraill ac asesiadau ychwanegol</t>
  </si>
  <si>
    <t>K</t>
  </si>
  <si>
    <t>Mae eich cynnydd arfaethedig mewn trwybwn yn fwy na’r trothwy sy’n dod â’r gweithgaredd hwnnw o dan Ran A(1) o’r Rheoliadau Trwyddedu Amgylcheddol</t>
  </si>
  <si>
    <t>Nid yw eich amrywiad yn sylweddol, ond rydych yn bwriadu cynyddu cynhwysedd cynhyrchu o fwy na 25% ar gyfer o leiaf un o'ch gweithgareddau.</t>
  </si>
  <si>
    <t xml:space="preserve">Rhowch fanylion am eich gosodiad yn y blychau gwyn. 
Enw'r gweithredwr yw enw'r cwmni neu'r sefydliad a gyflwynwyd eich trwydded iddo.  
Nodwch rif y drwydded heb unrhyw ôl-ddodiaid ar gyfer amrywiadau neu drosglwyddiadau – e.e. EPR/AB1234CD
Rhowch ddisgrifiad byr o'r newidiadau y gofynnwyd amdanynt yn eich cais. 
Os ydych yn gweithredu gweithgaredd gwastraff a bod eich cynnydd mewn cynhwysedd yn golygu bod angen trwydded gosodiad arnoch, dylech gwblhau'r offeryn taliadau amrywiadau. Ni ddylai unrhyw weithgareddau presennol gael eu rhestru fel "Newydd", ond rhaid i chi gynnwys y newid mewn cynhwysedd. 
Gofynnwn hefyd a yw unrhyw ran o'r wybodaeth yn y cais yn fasnachol gyfrinachol ac a ydych yn gofyn i amrywiadau blaenorol gael eu cyfuno â'r amrywiad trwydded hwn.  </t>
  </si>
  <si>
    <t>Taflen</t>
  </si>
  <si>
    <t xml:space="preserve">Colofn </t>
  </si>
  <si>
    <t>Cyfanswm y taliadau</t>
  </si>
  <si>
    <t>Gweithgareddau ychwanegol</t>
  </si>
  <si>
    <t>Unedau</t>
  </si>
  <si>
    <t>Prif Weithgaredd</t>
  </si>
  <si>
    <t>Trothwy</t>
  </si>
  <si>
    <t xml:space="preserve">Canllawiau ar Gymhwysedd Gweithredwyr </t>
  </si>
  <si>
    <t>Band 2 pwrpasol</t>
  </si>
  <si>
    <t>Taliadau sylfaenol</t>
  </si>
  <si>
    <t>Arferol</t>
  </si>
  <si>
    <r>
      <rPr>
        <b/>
        <sz val="11"/>
        <color theme="1"/>
        <rFont val="Calibri"/>
        <family val="2"/>
      </rPr>
      <t xml:space="preserve">CAM 4 </t>
    </r>
    <r>
      <rPr>
        <b/>
        <sz val="11"/>
        <color theme="1"/>
        <rFont val="Calibri"/>
        <family val="2"/>
      </rPr>
      <t>–</t>
    </r>
    <r>
      <rPr>
        <b/>
        <sz val="11"/>
        <color theme="1"/>
        <rFont val="Calibri"/>
        <family val="2"/>
      </rPr>
      <t xml:space="preserve"> ffactorau cymhlethdod</t>
    </r>
    <r>
      <rPr>
        <b/>
        <sz val="11"/>
        <color theme="1"/>
        <rFont val="Calibri"/>
        <family val="2"/>
      </rPr>
      <t xml:space="preserve"> uchel</t>
    </r>
  </si>
  <si>
    <t>REF</t>
  </si>
  <si>
    <t>Atodlen 1</t>
  </si>
  <si>
    <t>FDM</t>
  </si>
  <si>
    <t>MW</t>
  </si>
  <si>
    <t>TPD</t>
  </si>
  <si>
    <t>CLM</t>
  </si>
  <si>
    <t>TPH</t>
  </si>
  <si>
    <t>GLS</t>
  </si>
  <si>
    <t>POL/LVOC</t>
  </si>
  <si>
    <t>OFC</t>
  </si>
  <si>
    <t>T</t>
  </si>
  <si>
    <t>PP</t>
  </si>
  <si>
    <t xml:space="preserve">Fersiwn: </t>
  </si>
  <si>
    <t>Cam gweithredu</t>
  </si>
  <si>
    <t>Cyflwyniad</t>
  </si>
  <si>
    <t>Sut mae'r bandiau'n cael eu cyfrifo</t>
  </si>
  <si>
    <t>D</t>
  </si>
  <si>
    <t>E</t>
  </si>
  <si>
    <t>Nifer y cofnodion</t>
  </si>
  <si>
    <t>F</t>
  </si>
  <si>
    <t>&gt;2</t>
  </si>
  <si>
    <t>G</t>
  </si>
  <si>
    <t>H</t>
  </si>
  <si>
    <t>I</t>
  </si>
  <si>
    <t>J</t>
  </si>
  <si>
    <t>Sgôr</t>
  </si>
  <si>
    <t>Mae'r sgôr ar gyfer pob un yn cael ei hadio i fyny a'i defnyddio i bennu'r band cychwynnol</t>
  </si>
  <si>
    <t>Band 1</t>
  </si>
  <si>
    <t>Band 2</t>
  </si>
  <si>
    <t>Band 3</t>
  </si>
  <si>
    <t>Yna cyfrifir y band taliadau terfynol drwy ychwanegu'r sgôr o'r adran cwestiynau</t>
  </si>
  <si>
    <t>Enw'r Gweithredwr</t>
  </si>
  <si>
    <t>Dyddiad y Cais</t>
  </si>
  <si>
    <t>Asesiadau ychwanegol</t>
  </si>
  <si>
    <t>Oriau a gwmpesir gan y taliadau hyn</t>
  </si>
  <si>
    <t>Codau lliw</t>
  </si>
  <si>
    <t>Testun rhydd</t>
  </si>
  <si>
    <t>Rhestr dewisiadau</t>
  </si>
  <si>
    <t>Wedi'i boblogi’n awtomatig</t>
  </si>
  <si>
    <t>Dolen canllawiau ar gael</t>
  </si>
  <si>
    <t>Cyfarwyddyd</t>
  </si>
  <si>
    <t>Ateb yn y gell</t>
  </si>
  <si>
    <t>Gwybodaeth neu sylwebaeth</t>
  </si>
  <si>
    <t>A yw'r ddogfen hon yn cynnwys gwybodaeth sy'n gyfrinachol yn fasnachol?</t>
  </si>
  <si>
    <t>Dolen canllawiau</t>
  </si>
  <si>
    <t>Gweithgaredd Rheolaeth Dechnegol Gymhwysol</t>
  </si>
  <si>
    <t>cyfanswm taliadau cyn capio</t>
  </si>
  <si>
    <t>Asesiadau Ychwanegol</t>
  </si>
  <si>
    <t>Cyfeirnod y ddogfen</t>
  </si>
  <si>
    <t>Asesiad modelu gwasgariad aer llawn</t>
  </si>
  <si>
    <t>Asesiad effaith modelu arogl llawn (lle nad yw’n rhan o fodelu gwasgariad aer)</t>
  </si>
  <si>
    <t>Asesiad effaith modelu bioaerosol llawn</t>
  </si>
  <si>
    <t xml:space="preserve">Asesiad effaith modelu sŵn llawn </t>
  </si>
  <si>
    <t>Cynllun Amddiffyn a Lliniaru Tân ar gyfer rhan o'ch gosodiad neu'r cyfan ohono</t>
  </si>
  <si>
    <t>Oriau ar y gyfradd gyfredol</t>
  </si>
  <si>
    <t xml:space="preserve">Rhan_B </t>
  </si>
  <si>
    <t>Rhan_A2</t>
  </si>
  <si>
    <t>RhanB_CHC_a_neu_EP</t>
  </si>
  <si>
    <t>Generaduron_penodedig</t>
  </si>
  <si>
    <t>Cyfarpar_Hylosgi_Canolig</t>
  </si>
  <si>
    <t>Hide</t>
  </si>
  <si>
    <t>Casgliadau Technoleg Orau sydd ar Gael yn berthnasol</t>
  </si>
  <si>
    <t xml:space="preserve">Gweithgaredd newydd heb gasgliad Technoleg Orau sydd ar Gael </t>
  </si>
  <si>
    <t>SRoC CNC f2 2024-25</t>
  </si>
  <si>
    <t>Bydd hyn yn penderfynu a yw eich amrywiad yn sylweddol neu'n arferol. Mae'r wybodaeth a roesoch ar daflen 1 am raddfa'r newidiadau ac a ydych yn ychwanegu unrhyw weithgareddau newydd yn cael ei defnyddio yma gan y bydd rhai newidiadau bob amser yn sylweddol. Rydym hefyd yn gofyn a ydych eisoes wedi cael gwybod yn ystod trafodaethau cyn ymgeisio y bydd eich amrywiad yn sylweddol oherwydd materion penodol, neu a fyddwch yn gwneud cais am randdirymiad o unrhyw gyfyngiad ar gasgliadau Technoleg Orau sydd ar Gael  fel rhan o’r amrywiad.  Os nad oes gan y gweithgaredd yr effeithir arno gan eich cais amrywiad drothwy (e.e gweithgareddau cemegol), yr effaith amgylcheddol bosibl sy'n penderfynu a fydd yr amrywiad yn sylweddol ai peidio. Mae rhagor o wybodaeth ar gael yn RGN 8 (dolen wedi’i darparu), neu drwy gysylltu â’ch swyddfa ardal leol neu’ch swyddog safle.</t>
  </si>
  <si>
    <t>O drafodaethau cyn-ymgeisio, a/neu RGN 8, a yw hwn yn gais Amrywiad Sylweddol?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</si>
</sst>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quot;£&quot;#,##0"/>
  </numFmts>
  <fonts count="49" x14ac:knownFonts="1">
    <font>
      <sz val="11"/>
      <color theme="1"/>
      <name val="Calibri"/>
      <family val="2"/>
      <scheme val="minor"/>
    </font>
    <font>
      <sz val="10"/>
      <color theme="1"/>
      <name val="Arial"/>
      <family val="2"/>
    </font>
    <font>
      <sz val="14"/>
      <color indexed="12"/>
      <name val="Arial"/>
      <family val="2"/>
    </font>
    <font>
      <b/>
      <sz val="16"/>
      <color indexed="10"/>
      <name val="Arial"/>
      <family val="2"/>
    </font>
    <font>
      <b/>
      <sz val="10"/>
      <name val="Arial"/>
      <family val="2"/>
    </font>
    <font>
      <sz val="8"/>
      <name val="Arial"/>
      <family val="2"/>
    </font>
    <font>
      <b/>
      <sz val="8"/>
      <color indexed="10"/>
      <name val="Arial"/>
      <family val="2"/>
    </font>
    <font>
      <sz val="8"/>
      <color indexed="10"/>
      <name val="Arial"/>
      <family val="2"/>
    </font>
    <font>
      <b/>
      <sz val="12"/>
      <name val="Arial"/>
      <family val="2"/>
    </font>
    <font>
      <sz val="10"/>
      <name val="Arial"/>
      <family val="2"/>
    </font>
    <font>
      <b/>
      <sz val="10"/>
      <color indexed="10"/>
      <name val="Arial"/>
      <family val="2"/>
    </font>
    <font>
      <b/>
      <sz val="10"/>
      <color indexed="42"/>
      <name val="Arial"/>
      <family val="2"/>
    </font>
    <font>
      <sz val="9"/>
      <name val="Tahoma"/>
      <family val="2"/>
    </font>
    <font>
      <u/>
      <sz val="9"/>
      <color indexed="12"/>
      <name val="Arial"/>
      <family val="2"/>
    </font>
    <font>
      <b/>
      <sz val="11"/>
      <color theme="1"/>
      <name val="Calibri"/>
      <family val="2"/>
      <scheme val="minor"/>
    </font>
    <font>
      <b/>
      <sz val="11"/>
      <name val="Arial"/>
      <family val="2"/>
    </font>
    <font>
      <sz val="11"/>
      <name val="Calibri"/>
      <family val="2"/>
      <scheme val="minor"/>
    </font>
    <font>
      <sz val="11"/>
      <color rgb="FFFF0000"/>
      <name val="Calibri"/>
      <family val="2"/>
      <scheme val="minor"/>
    </font>
    <font>
      <strike/>
      <sz val="11"/>
      <color theme="1"/>
      <name val="Calibri"/>
      <family val="2"/>
      <scheme val="minor"/>
    </font>
    <font>
      <b/>
      <sz val="9"/>
      <name val="Tahoma"/>
      <family val="2"/>
    </font>
    <font>
      <sz val="10"/>
      <color theme="1"/>
      <name val="Calibri"/>
      <family val="2"/>
      <scheme val="minor"/>
    </font>
    <font>
      <b/>
      <sz val="14"/>
      <color theme="1"/>
      <name val="Calibri"/>
      <family val="2"/>
      <scheme val="minor"/>
    </font>
    <font>
      <b/>
      <sz val="11"/>
      <color rgb="FF7030A0"/>
      <name val="Calibri"/>
      <family val="2"/>
      <scheme val="minor"/>
    </font>
    <font>
      <b/>
      <sz val="16"/>
      <color theme="1"/>
      <name val="Calibri"/>
      <family val="2"/>
      <scheme val="minor"/>
    </font>
    <font>
      <sz val="12"/>
      <color theme="1"/>
      <name val="Calibri"/>
      <family val="2"/>
      <scheme val="minor"/>
    </font>
    <font>
      <b/>
      <sz val="14"/>
      <color indexed="12"/>
      <name val="Arial"/>
      <family val="2"/>
    </font>
    <font>
      <b/>
      <sz val="12"/>
      <color theme="1"/>
      <name val="Calibri"/>
      <family val="2"/>
      <scheme val="minor"/>
    </font>
    <font>
      <sz val="9"/>
      <color theme="1"/>
      <name val="Calibri"/>
      <family val="2"/>
      <scheme val="minor"/>
    </font>
    <font>
      <sz val="14"/>
      <color theme="1"/>
      <name val="Calibri"/>
      <family val="2"/>
      <scheme val="minor"/>
    </font>
    <font>
      <sz val="13"/>
      <color theme="1"/>
      <name val="Calibri"/>
      <family val="2"/>
      <scheme val="minor"/>
    </font>
    <font>
      <b/>
      <sz val="13"/>
      <color theme="1"/>
      <name val="Calibri"/>
      <family val="2"/>
      <scheme val="minor"/>
    </font>
    <font>
      <b/>
      <sz val="12"/>
      <color theme="1"/>
      <name val="Arial"/>
      <family val="2"/>
    </font>
    <font>
      <i/>
      <sz val="11"/>
      <color theme="1"/>
      <name val="Calibri"/>
      <family val="2"/>
      <scheme val="minor"/>
    </font>
    <font>
      <u/>
      <sz val="11"/>
      <color indexed="12"/>
      <name val="Arial"/>
      <family val="2"/>
    </font>
    <font>
      <sz val="12"/>
      <name val="Arial"/>
      <family val="2"/>
    </font>
    <font>
      <b/>
      <sz val="10"/>
      <name val="Calibri"/>
      <family val="2"/>
      <scheme val="minor"/>
    </font>
    <font>
      <sz val="9"/>
      <color indexed="12"/>
      <name val="Arial"/>
      <family val="2"/>
    </font>
    <font>
      <sz val="11"/>
      <color rgb="FF000000"/>
      <name val="Calibri"/>
      <family val="2"/>
    </font>
    <font>
      <u/>
      <sz val="11"/>
      <color theme="1"/>
      <name val="Calibri"/>
      <family val="2"/>
    </font>
    <font>
      <b/>
      <sz val="11"/>
      <color theme="1"/>
      <name val="Calibri"/>
      <family val="2"/>
    </font>
    <font>
      <sz val="11"/>
      <color theme="1"/>
      <name val="Calibri"/>
      <family val="2"/>
    </font>
    <font>
      <sz val="12"/>
      <color rgb="FF000000"/>
      <name val="Calibri"/>
      <family val="2"/>
    </font>
    <font>
      <sz val="13"/>
      <color rgb="FF000000"/>
      <name val="Calibri"/>
      <family val="2"/>
    </font>
    <font>
      <sz val="10"/>
      <color rgb="FF000000"/>
      <name val="Calibri"/>
      <family val="2"/>
    </font>
    <font>
      <b/>
      <sz val="11"/>
      <color rgb="FF000000"/>
      <name val="Calibri"/>
      <family val="2"/>
    </font>
    <font>
      <sz val="11"/>
      <color theme="1"/>
      <name val="Calibri"/>
      <family val="2"/>
      <scheme val="minor"/>
    </font>
    <font>
      <b/>
      <sz val="14"/>
      <color theme="1"/>
      <name val="Calibri"/>
      <family val="2"/>
    </font>
    <font>
      <b/>
      <sz val="12"/>
      <color rgb="FF000000"/>
      <name val="Calibri"/>
      <family val="2"/>
    </font>
    <font>
      <b/>
      <sz val="14"/>
      <name val="Arial"/>
      <family val="2"/>
    </font>
  </fonts>
  <fills count="22">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4" tint="0.59996337778862885"/>
        <bgColor indexed="64"/>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8" tint="0.59996337778862885"/>
        <bgColor indexed="64"/>
      </patternFill>
    </fill>
    <fill>
      <patternFill patternType="solid">
        <fgColor theme="8" tint="0.79995117038483843"/>
        <bgColor indexed="64"/>
      </patternFill>
    </fill>
    <fill>
      <patternFill patternType="solid">
        <fgColor rgb="FFFFFF00"/>
        <bgColor indexed="64"/>
      </patternFill>
    </fill>
    <fill>
      <patternFill patternType="solid">
        <fgColor theme="0" tint="-0.24994659260841701"/>
        <bgColor indexed="64"/>
      </patternFill>
    </fill>
    <fill>
      <patternFill patternType="solid">
        <fgColor theme="7"/>
        <bgColor indexed="64"/>
      </patternFill>
    </fill>
    <fill>
      <patternFill patternType="solid">
        <fgColor rgb="FFDFD299"/>
        <bgColor indexed="64"/>
      </patternFill>
    </fill>
    <fill>
      <patternFill patternType="solid">
        <fgColor rgb="FFCCFFCC"/>
        <bgColor indexed="64"/>
      </patternFill>
    </fill>
    <fill>
      <patternFill patternType="solid">
        <fgColor theme="9"/>
        <bgColor indexed="64"/>
      </patternFill>
    </fill>
    <fill>
      <patternFill patternType="solid">
        <fgColor theme="3" tint="0.79995117038483843"/>
        <bgColor indexed="64"/>
      </patternFill>
    </fill>
    <fill>
      <patternFill patternType="solid">
        <fgColor theme="4" tint="0.79995117038483843"/>
        <bgColor indexed="64"/>
      </patternFill>
    </fill>
    <fill>
      <patternFill patternType="solid">
        <fgColor theme="9" tint="0.79995117038483843"/>
        <bgColor indexed="64"/>
      </patternFill>
    </fill>
    <fill>
      <patternFill patternType="solid">
        <fgColor rgb="FFB4C7E7"/>
        <bgColor indexed="64"/>
      </patternFill>
    </fill>
    <fill>
      <patternFill patternType="solid">
        <fgColor theme="9" tint="0.59999389629810485"/>
        <bgColor indexed="64"/>
      </patternFill>
    </fill>
    <fill>
      <patternFill patternType="solid">
        <fgColor theme="4" tint="0.59999389629810485"/>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medium">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medium">
        <color auto="1"/>
      </top>
      <bottom style="medium">
        <color auto="1"/>
      </bottom>
      <diagonal/>
    </border>
    <border>
      <left style="medium">
        <color auto="1"/>
      </left>
      <right style="thin">
        <color auto="1"/>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style="medium">
        <color auto="1"/>
      </right>
      <top style="thin">
        <color auto="1"/>
      </top>
      <bottom/>
      <diagonal/>
    </border>
    <border>
      <left style="thin">
        <color auto="1"/>
      </left>
      <right style="medium">
        <color auto="1"/>
      </right>
      <top/>
      <bottom/>
      <diagonal/>
    </border>
    <border>
      <left/>
      <right style="thin">
        <color auto="1"/>
      </right>
      <top style="medium">
        <color auto="1"/>
      </top>
      <bottom style="medium">
        <color auto="1"/>
      </bottom>
      <diagonal/>
    </border>
    <border>
      <left/>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s>
  <cellStyleXfs count="7">
    <xf numFmtId="0" fontId="0" fillId="0" borderId="0"/>
    <xf numFmtId="9" fontId="1" fillId="0" borderId="0" applyFont="0" applyFill="0" applyBorder="0" applyAlignment="0" applyProtection="0"/>
    <xf numFmtId="44" fontId="45"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3" fillId="0" borderId="0" applyNumberFormat="0" applyFill="0" applyBorder="0">
      <protection locked="0"/>
    </xf>
  </cellStyleXfs>
  <cellXfs count="549">
    <xf numFmtId="0" fontId="0" fillId="0" borderId="0" xfId="0"/>
    <xf numFmtId="0" fontId="0" fillId="18" borderId="16" xfId="0" applyFill="1" applyBorder="1" applyAlignment="1">
      <alignment horizontal="center"/>
    </xf>
    <xf numFmtId="0" fontId="0" fillId="18" borderId="15" xfId="0" applyFill="1" applyBorder="1" applyAlignment="1">
      <alignment horizontal="center"/>
    </xf>
    <xf numFmtId="0" fontId="0" fillId="18" borderId="3" xfId="0" applyFill="1" applyBorder="1" applyAlignment="1">
      <alignment horizontal="left" wrapText="1"/>
    </xf>
    <xf numFmtId="0" fontId="0" fillId="18" borderId="0" xfId="0" applyFill="1" applyAlignment="1">
      <alignment horizontal="left" wrapText="1"/>
    </xf>
    <xf numFmtId="0" fontId="0" fillId="0" borderId="0" xfId="0" applyAlignment="1">
      <alignment horizontal="center"/>
    </xf>
    <xf numFmtId="0" fontId="0" fillId="4" borderId="0" xfId="0" applyFill="1" applyAlignment="1">
      <alignment horizontal="center" wrapText="1"/>
    </xf>
    <xf numFmtId="0" fontId="16" fillId="0" borderId="0" xfId="0" applyFont="1"/>
    <xf numFmtId="0" fontId="0" fillId="2" borderId="0" xfId="0" applyFill="1"/>
    <xf numFmtId="0" fontId="0" fillId="0" borderId="3" xfId="0" applyBorder="1"/>
    <xf numFmtId="0" fontId="0" fillId="6" borderId="0" xfId="0" applyFill="1"/>
    <xf numFmtId="0" fontId="0" fillId="0" borderId="0" xfId="0" applyAlignment="1">
      <alignment wrapText="1"/>
    </xf>
    <xf numFmtId="3" fontId="0" fillId="0" borderId="0" xfId="0" applyNumberFormat="1"/>
    <xf numFmtId="0" fontId="0" fillId="6" borderId="4" xfId="0" applyFill="1" applyBorder="1" applyAlignment="1">
      <alignment horizontal="left" vertical="top" wrapText="1"/>
    </xf>
    <xf numFmtId="0" fontId="0" fillId="0" borderId="3" xfId="0" applyBorder="1" applyAlignment="1">
      <alignment wrapText="1"/>
    </xf>
    <xf numFmtId="0" fontId="0" fillId="6" borderId="3" xfId="0" applyFill="1" applyBorder="1"/>
    <xf numFmtId="0" fontId="13" fillId="2" borderId="0" xfId="6" applyFill="1" applyProtection="1"/>
    <xf numFmtId="0" fontId="0" fillId="9" borderId="8" xfId="0" applyFill="1" applyBorder="1"/>
    <xf numFmtId="0" fontId="16" fillId="9" borderId="8" xfId="0" applyFont="1" applyFill="1" applyBorder="1"/>
    <xf numFmtId="0" fontId="0" fillId="9" borderId="9" xfId="0" applyFill="1" applyBorder="1"/>
    <xf numFmtId="0" fontId="0" fillId="9" borderId="0" xfId="0" applyFill="1"/>
    <xf numFmtId="0" fontId="0" fillId="9" borderId="10" xfId="0" applyFill="1" applyBorder="1"/>
    <xf numFmtId="0" fontId="0" fillId="9" borderId="11" xfId="0" applyFill="1" applyBorder="1"/>
    <xf numFmtId="0" fontId="3" fillId="9" borderId="11" xfId="0" applyFont="1" applyFill="1" applyBorder="1"/>
    <xf numFmtId="0" fontId="4" fillId="9" borderId="9" xfId="0" applyFont="1" applyFill="1" applyBorder="1"/>
    <xf numFmtId="0" fontId="4" fillId="9" borderId="0" xfId="0" applyFont="1" applyFill="1"/>
    <xf numFmtId="0" fontId="0" fillId="9" borderId="12" xfId="0" applyFill="1" applyBorder="1"/>
    <xf numFmtId="0" fontId="0" fillId="9" borderId="13" xfId="0" applyFill="1" applyBorder="1"/>
    <xf numFmtId="0" fontId="16" fillId="9" borderId="13" xfId="0" applyFont="1" applyFill="1" applyBorder="1"/>
    <xf numFmtId="0" fontId="0" fillId="9" borderId="14" xfId="0" applyFill="1" applyBorder="1"/>
    <xf numFmtId="0" fontId="3" fillId="9" borderId="0" xfId="0" applyFont="1" applyFill="1"/>
    <xf numFmtId="0" fontId="5" fillId="9" borderId="0" xfId="0" applyFont="1" applyFill="1" applyAlignment="1">
      <alignment horizontal="left" vertical="center" wrapText="1"/>
    </xf>
    <xf numFmtId="0" fontId="16" fillId="9" borderId="0" xfId="0" applyFont="1" applyFill="1"/>
    <xf numFmtId="0" fontId="3" fillId="9" borderId="0" xfId="0" applyFont="1" applyFill="1" applyAlignment="1">
      <alignment wrapText="1"/>
    </xf>
    <xf numFmtId="0" fontId="6" fillId="9" borderId="0" xfId="0" applyFont="1" applyFill="1" applyAlignment="1">
      <alignment vertical="center" wrapText="1"/>
    </xf>
    <xf numFmtId="0" fontId="7" fillId="9" borderId="0" xfId="0" applyFont="1" applyFill="1" applyAlignment="1">
      <alignment horizontal="center" vertical="center" wrapText="1"/>
    </xf>
    <xf numFmtId="0" fontId="4" fillId="0" borderId="0" xfId="0" applyFont="1"/>
    <xf numFmtId="0" fontId="4" fillId="0" borderId="0" xfId="0" applyFont="1" applyAlignment="1">
      <alignment horizontal="left" vertical="top" wrapText="1"/>
    </xf>
    <xf numFmtId="0" fontId="0" fillId="9" borderId="13" xfId="0" applyFill="1" applyBorder="1" applyAlignment="1">
      <alignment horizontal="center"/>
    </xf>
    <xf numFmtId="0" fontId="0" fillId="9" borderId="11" xfId="0" applyFill="1" applyBorder="1" applyProtection="1">
      <protection hidden="1"/>
    </xf>
    <xf numFmtId="0" fontId="4" fillId="9" borderId="13" xfId="0" applyFont="1" applyFill="1" applyBorder="1" applyAlignment="1">
      <alignment horizontal="center"/>
    </xf>
    <xf numFmtId="0" fontId="0" fillId="0" borderId="13" xfId="0" applyBorder="1"/>
    <xf numFmtId="0" fontId="9" fillId="9" borderId="0" xfId="0" applyFont="1" applyFill="1" applyAlignment="1">
      <alignment horizontal="center"/>
    </xf>
    <xf numFmtId="0" fontId="0" fillId="9" borderId="0" xfId="0" applyFill="1" applyAlignment="1">
      <alignment horizontal="left"/>
    </xf>
    <xf numFmtId="0" fontId="0" fillId="9" borderId="17" xfId="0" applyFill="1" applyBorder="1"/>
    <xf numFmtId="0" fontId="0" fillId="4" borderId="18" xfId="0" applyFill="1" applyBorder="1" applyAlignment="1">
      <alignment wrapText="1"/>
    </xf>
    <xf numFmtId="0" fontId="0" fillId="12" borderId="19" xfId="0" applyFill="1" applyBorder="1" applyAlignment="1">
      <alignment horizontal="center" vertical="top" wrapText="1"/>
    </xf>
    <xf numFmtId="0" fontId="0" fillId="12" borderId="20" xfId="0" applyFill="1" applyBorder="1" applyAlignment="1">
      <alignment horizontal="center" vertical="top" wrapText="1"/>
    </xf>
    <xf numFmtId="0" fontId="0" fillId="9" borderId="0" xfId="0" applyFill="1" applyAlignment="1">
      <alignment vertical="center" wrapText="1"/>
    </xf>
    <xf numFmtId="0" fontId="0" fillId="9" borderId="21" xfId="0" applyFill="1" applyBorder="1"/>
    <xf numFmtId="165" fontId="0" fillId="13" borderId="0" xfId="0" applyNumberFormat="1" applyFill="1"/>
    <xf numFmtId="0" fontId="0" fillId="14" borderId="0" xfId="0" applyFill="1"/>
    <xf numFmtId="0" fontId="17" fillId="14" borderId="0" xfId="0" applyFont="1" applyFill="1"/>
    <xf numFmtId="0" fontId="4" fillId="9" borderId="0" xfId="0" applyFont="1" applyFill="1" applyAlignment="1">
      <alignment horizontal="center"/>
    </xf>
    <xf numFmtId="0" fontId="14" fillId="0" borderId="0" xfId="0" applyFont="1"/>
    <xf numFmtId="0" fontId="31" fillId="9" borderId="0" xfId="0" applyFont="1" applyFill="1" applyAlignment="1">
      <alignment horizontal="center" vertical="center"/>
    </xf>
    <xf numFmtId="1" fontId="0" fillId="13" borderId="0" xfId="0" applyNumberFormat="1" applyFill="1"/>
    <xf numFmtId="0" fontId="0" fillId="14" borderId="13" xfId="0" applyFill="1" applyBorder="1"/>
    <xf numFmtId="0" fontId="0" fillId="9" borderId="0" xfId="0" applyFill="1" applyAlignment="1">
      <alignment horizontal="center"/>
    </xf>
    <xf numFmtId="0" fontId="6" fillId="9" borderId="0" xfId="0" applyFont="1" applyFill="1" applyAlignment="1">
      <alignment horizontal="center" vertical="center" wrapText="1"/>
    </xf>
    <xf numFmtId="0" fontId="0" fillId="6" borderId="1" xfId="0" applyFill="1" applyBorder="1" applyAlignment="1" applyProtection="1">
      <alignment horizontal="left" vertical="top" wrapText="1"/>
      <protection locked="0"/>
    </xf>
    <xf numFmtId="0" fontId="0" fillId="6" borderId="22" xfId="0" applyFill="1" applyBorder="1" applyAlignment="1" applyProtection="1">
      <alignment horizontal="left" vertical="top" wrapText="1"/>
      <protection locked="0"/>
    </xf>
    <xf numFmtId="0" fontId="0" fillId="6" borderId="1" xfId="0" applyFill="1" applyBorder="1" applyAlignment="1" applyProtection="1">
      <alignment horizontal="center" vertical="top" wrapText="1"/>
      <protection locked="0"/>
    </xf>
    <xf numFmtId="0" fontId="0" fillId="6" borderId="23" xfId="0" applyFill="1" applyBorder="1" applyAlignment="1" applyProtection="1">
      <alignment horizontal="left"/>
      <protection locked="0"/>
    </xf>
    <xf numFmtId="0" fontId="0" fillId="0" borderId="0" xfId="0" applyProtection="1">
      <protection locked="0"/>
    </xf>
    <xf numFmtId="0" fontId="0" fillId="9" borderId="8" xfId="0" applyFill="1" applyBorder="1" applyAlignment="1">
      <alignment horizontal="center"/>
    </xf>
    <xf numFmtId="0" fontId="0" fillId="9" borderId="0" xfId="0" applyFill="1" applyAlignment="1">
      <alignment wrapText="1"/>
    </xf>
    <xf numFmtId="0" fontId="10" fillId="9" borderId="0" xfId="0" applyFont="1" applyFill="1" applyAlignment="1">
      <alignment horizontal="center"/>
    </xf>
    <xf numFmtId="0" fontId="11" fillId="9" borderId="1"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25" xfId="0" applyFont="1" applyFill="1" applyBorder="1" applyAlignment="1">
      <alignment horizontal="left" vertical="top" wrapText="1"/>
    </xf>
    <xf numFmtId="0" fontId="4" fillId="9" borderId="16" xfId="0" applyFont="1" applyFill="1" applyBorder="1" applyAlignment="1">
      <alignment horizontal="center"/>
    </xf>
    <xf numFmtId="0" fontId="0" fillId="13" borderId="1" xfId="0" applyFill="1" applyBorder="1" applyAlignment="1">
      <alignment horizontal="center" vertical="top" wrapText="1"/>
    </xf>
    <xf numFmtId="0" fontId="0" fillId="9" borderId="0" xfId="0" applyFill="1" applyAlignment="1">
      <alignment horizontal="center" vertical="top" wrapText="1"/>
    </xf>
    <xf numFmtId="0" fontId="0" fillId="13" borderId="0" xfId="0" applyFill="1" applyAlignment="1">
      <alignment horizontal="center" vertical="center"/>
    </xf>
    <xf numFmtId="0" fontId="0" fillId="9" borderId="0" xfId="0" applyFill="1" applyAlignment="1">
      <alignment horizontal="center" vertical="center"/>
    </xf>
    <xf numFmtId="0" fontId="10" fillId="9" borderId="0" xfId="0" applyFont="1" applyFill="1" applyAlignment="1">
      <alignment horizontal="center" vertical="top"/>
    </xf>
    <xf numFmtId="0" fontId="4" fillId="9" borderId="0" xfId="0" applyFont="1" applyFill="1" applyAlignment="1">
      <alignment horizontal="left"/>
    </xf>
    <xf numFmtId="0" fontId="9" fillId="9" borderId="0" xfId="0" applyFont="1" applyFill="1" applyAlignment="1">
      <alignment horizontal="left"/>
    </xf>
    <xf numFmtId="0" fontId="9" fillId="9" borderId="0" xfId="0" applyFont="1" applyFill="1"/>
    <xf numFmtId="0" fontId="9" fillId="2"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22" xfId="0" applyFill="1" applyBorder="1" applyAlignment="1" applyProtection="1">
      <alignment horizontal="left" vertical="top" wrapText="1"/>
      <protection locked="0"/>
    </xf>
    <xf numFmtId="0" fontId="24" fillId="2" borderId="1" xfId="0" applyFont="1" applyFill="1" applyBorder="1" applyAlignment="1" applyProtection="1">
      <alignment horizontal="center" vertical="center"/>
      <protection locked="0"/>
    </xf>
    <xf numFmtId="0" fontId="0" fillId="14" borderId="27" xfId="0" applyFill="1" applyBorder="1"/>
    <xf numFmtId="0" fontId="17" fillId="9" borderId="0" xfId="0" applyFont="1" applyFill="1"/>
    <xf numFmtId="0" fontId="16" fillId="14" borderId="0" xfId="0" applyFont="1" applyFill="1" applyAlignment="1">
      <alignment vertical="center"/>
    </xf>
    <xf numFmtId="0" fontId="0" fillId="9" borderId="28" xfId="0" applyFill="1" applyBorder="1"/>
    <xf numFmtId="0" fontId="0" fillId="14" borderId="0" xfId="0" applyFill="1" applyAlignment="1">
      <alignment wrapText="1"/>
    </xf>
    <xf numFmtId="0" fontId="0" fillId="9" borderId="9" xfId="0" applyFill="1" applyBorder="1" applyAlignment="1">
      <alignment horizontal="center" vertical="center" wrapText="1"/>
    </xf>
    <xf numFmtId="0" fontId="14" fillId="9" borderId="0" xfId="0" applyFont="1" applyFill="1" applyAlignment="1">
      <alignment vertical="center" wrapText="1"/>
    </xf>
    <xf numFmtId="0" fontId="14" fillId="9" borderId="0" xfId="0" applyFont="1" applyFill="1" applyAlignment="1">
      <alignment horizontal="center" vertical="center" wrapText="1"/>
    </xf>
    <xf numFmtId="0" fontId="14" fillId="4" borderId="1" xfId="0" applyFont="1" applyFill="1" applyBorder="1" applyAlignment="1">
      <alignment horizontal="center" vertical="center" wrapText="1"/>
    </xf>
    <xf numFmtId="0" fontId="22" fillId="14" borderId="0" xfId="0" applyFont="1" applyFill="1"/>
    <xf numFmtId="0" fontId="0" fillId="14" borderId="28" xfId="0" applyFill="1" applyBorder="1"/>
    <xf numFmtId="0" fontId="18" fillId="9" borderId="0" xfId="0" applyFont="1" applyFill="1"/>
    <xf numFmtId="0" fontId="0" fillId="9" borderId="9" xfId="0" applyFill="1" applyBorder="1" applyAlignment="1">
      <alignment vertical="center" wrapText="1"/>
    </xf>
    <xf numFmtId="0" fontId="18" fillId="14" borderId="0" xfId="0" applyFont="1" applyFill="1"/>
    <xf numFmtId="0" fontId="0" fillId="9" borderId="0" xfId="0" applyFill="1" applyAlignment="1">
      <alignment horizontal="center" vertical="center" wrapText="1"/>
    </xf>
    <xf numFmtId="0" fontId="0" fillId="14" borderId="15" xfId="0" applyFill="1" applyBorder="1"/>
    <xf numFmtId="0" fontId="0" fillId="9" borderId="0" xfId="0" applyFill="1" applyAlignment="1">
      <alignment horizontal="center" wrapText="1"/>
    </xf>
    <xf numFmtId="0" fontId="0" fillId="14" borderId="0" xfId="0" applyFill="1" applyAlignment="1">
      <alignment vertical="center" wrapText="1"/>
    </xf>
    <xf numFmtId="0" fontId="14" fillId="9" borderId="0" xfId="0" applyFont="1" applyFill="1" applyAlignment="1">
      <alignment vertical="center"/>
    </xf>
    <xf numFmtId="0" fontId="0" fillId="14" borderId="30" xfId="0" applyFill="1" applyBorder="1"/>
    <xf numFmtId="0" fontId="0" fillId="14" borderId="31" xfId="0" applyFill="1" applyBorder="1"/>
    <xf numFmtId="0" fontId="0" fillId="9" borderId="0" xfId="0" applyFill="1" applyAlignment="1">
      <alignment horizontal="left" wrapText="1"/>
    </xf>
    <xf numFmtId="165" fontId="0" fillId="13" borderId="1" xfId="0" applyNumberFormat="1" applyFill="1" applyBorder="1" applyAlignment="1">
      <alignment horizontal="center" vertical="center"/>
    </xf>
    <xf numFmtId="165" fontId="0" fillId="8" borderId="1" xfId="0" applyNumberFormat="1" applyFill="1" applyBorder="1" applyAlignment="1">
      <alignment horizontal="center" vertical="center" wrapText="1"/>
    </xf>
    <xf numFmtId="0" fontId="0" fillId="14" borderId="29" xfId="0" applyFill="1" applyBorder="1"/>
    <xf numFmtId="0" fontId="0" fillId="14" borderId="26" xfId="0" applyFill="1" applyBorder="1"/>
    <xf numFmtId="165" fontId="14" fillId="15" borderId="0" xfId="0" applyNumberFormat="1" applyFont="1" applyFill="1" applyAlignment="1">
      <alignment horizontal="center"/>
    </xf>
    <xf numFmtId="0" fontId="0" fillId="4" borderId="1" xfId="0" applyFill="1" applyBorder="1" applyAlignment="1">
      <alignment wrapText="1"/>
    </xf>
    <xf numFmtId="0" fontId="21" fillId="9" borderId="0" xfId="0" applyFont="1" applyFill="1"/>
    <xf numFmtId="1" fontId="0" fillId="9" borderId="0" xfId="0" applyNumberFormat="1" applyFill="1"/>
    <xf numFmtId="0" fontId="0" fillId="16" borderId="22" xfId="0" applyFill="1" applyBorder="1"/>
    <xf numFmtId="165" fontId="0" fillId="16" borderId="27" xfId="0" applyNumberFormat="1" applyFill="1" applyBorder="1" applyAlignment="1">
      <alignment horizontal="center" vertical="center" wrapText="1"/>
    </xf>
    <xf numFmtId="165" fontId="0" fillId="16" borderId="31" xfId="0" applyNumberFormat="1" applyFill="1" applyBorder="1" applyAlignment="1">
      <alignment horizontal="center" vertical="center" wrapText="1"/>
    </xf>
    <xf numFmtId="165" fontId="0" fillId="16" borderId="28" xfId="0" applyNumberFormat="1" applyFill="1" applyBorder="1" applyAlignment="1">
      <alignment horizontal="center" vertical="center" wrapText="1"/>
    </xf>
    <xf numFmtId="165" fontId="0" fillId="16" borderId="26" xfId="0" applyNumberFormat="1" applyFill="1" applyBorder="1" applyAlignment="1">
      <alignment horizontal="center" vertical="center" wrapText="1"/>
    </xf>
    <xf numFmtId="165" fontId="0" fillId="13" borderId="28" xfId="0" applyNumberFormat="1" applyFill="1" applyBorder="1"/>
    <xf numFmtId="165" fontId="0" fillId="9" borderId="0" xfId="0" applyNumberFormat="1" applyFill="1" applyAlignment="1">
      <alignment horizontal="center"/>
    </xf>
    <xf numFmtId="165" fontId="0" fillId="9" borderId="0" xfId="0" applyNumberFormat="1" applyFill="1"/>
    <xf numFmtId="0" fontId="14" fillId="9" borderId="15" xfId="0" applyFont="1" applyFill="1" applyBorder="1" applyAlignment="1">
      <alignment horizontal="left"/>
    </xf>
    <xf numFmtId="0" fontId="14" fillId="9" borderId="16" xfId="0" applyFont="1" applyFill="1" applyBorder="1" applyAlignment="1">
      <alignment horizontal="left"/>
    </xf>
    <xf numFmtId="0" fontId="14" fillId="9" borderId="0" xfId="0" applyFont="1" applyFill="1"/>
    <xf numFmtId="0" fontId="8" fillId="9" borderId="32" xfId="0" applyFont="1" applyFill="1" applyBorder="1" applyAlignment="1">
      <alignment vertical="center"/>
    </xf>
    <xf numFmtId="0" fontId="8" fillId="9" borderId="24" xfId="0" applyFont="1" applyFill="1" applyBorder="1" applyAlignment="1">
      <alignment vertical="center"/>
    </xf>
    <xf numFmtId="0" fontId="8" fillId="9" borderId="33" xfId="0" applyFont="1" applyFill="1" applyBorder="1" applyAlignment="1">
      <alignment vertical="center"/>
    </xf>
    <xf numFmtId="0" fontId="9" fillId="13" borderId="23" xfId="0" applyFont="1" applyFill="1" applyBorder="1" applyAlignment="1">
      <alignment horizontal="center"/>
    </xf>
    <xf numFmtId="0" fontId="20" fillId="13" borderId="0" xfId="0" applyFont="1" applyFill="1" applyAlignment="1">
      <alignment horizontal="center" wrapText="1"/>
    </xf>
    <xf numFmtId="2" fontId="0" fillId="9" borderId="0" xfId="0" applyNumberFormat="1" applyFill="1"/>
    <xf numFmtId="0" fontId="0" fillId="13" borderId="23" xfId="0" applyFill="1" applyBorder="1" applyAlignment="1">
      <alignment horizontal="center" vertical="top" wrapText="1"/>
    </xf>
    <xf numFmtId="0" fontId="0" fillId="13" borderId="0" xfId="0" applyFill="1" applyAlignment="1">
      <alignment horizontal="center" vertical="top" wrapText="1"/>
    </xf>
    <xf numFmtId="0" fontId="0" fillId="13" borderId="0" xfId="0" applyFill="1"/>
    <xf numFmtId="2" fontId="0" fillId="9" borderId="1" xfId="0" applyNumberFormat="1" applyFill="1" applyBorder="1" applyAlignment="1">
      <alignment horizontal="center" vertical="center"/>
    </xf>
    <xf numFmtId="0" fontId="0" fillId="9" borderId="1" xfId="0" applyFill="1" applyBorder="1" applyAlignment="1">
      <alignment horizontal="center" vertical="center"/>
    </xf>
    <xf numFmtId="0" fontId="0" fillId="9" borderId="1" xfId="0" applyFill="1" applyBorder="1"/>
    <xf numFmtId="0" fontId="4" fillId="9" borderId="0" xfId="0" applyFont="1" applyFill="1" applyAlignment="1">
      <alignment vertical="top" wrapText="1"/>
    </xf>
    <xf numFmtId="0" fontId="4" fillId="9" borderId="34" xfId="0" applyFont="1" applyFill="1" applyBorder="1" applyAlignment="1">
      <alignment horizontal="left" vertical="top" wrapText="1"/>
    </xf>
    <xf numFmtId="0" fontId="4" fillId="9" borderId="35" xfId="0" applyFont="1" applyFill="1" applyBorder="1" applyAlignment="1">
      <alignment horizontal="center"/>
    </xf>
    <xf numFmtId="0" fontId="0" fillId="13" borderId="5" xfId="0" applyFill="1" applyBorder="1" applyAlignment="1">
      <alignment horizontal="center" vertical="top" wrapText="1"/>
    </xf>
    <xf numFmtId="0" fontId="0" fillId="13" borderId="36" xfId="0" applyFill="1" applyBorder="1" applyAlignment="1">
      <alignment horizontal="center" vertical="top" wrapText="1"/>
    </xf>
    <xf numFmtId="0" fontId="0" fillId="0" borderId="1" xfId="0" applyBorder="1" applyProtection="1">
      <protection locked="0"/>
    </xf>
    <xf numFmtId="0" fontId="0" fillId="6" borderId="5"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9" fillId="2" borderId="5" xfId="0" applyFont="1" applyFill="1" applyBorder="1" applyAlignment="1" applyProtection="1">
      <alignment horizontal="left" vertical="top" wrapText="1"/>
      <protection locked="0"/>
    </xf>
    <xf numFmtId="0" fontId="0" fillId="6" borderId="1" xfId="0" quotePrefix="1" applyFill="1" applyBorder="1" applyAlignment="1" applyProtection="1">
      <alignment horizontal="center" vertical="top" wrapText="1"/>
      <protection locked="0"/>
    </xf>
    <xf numFmtId="0" fontId="0" fillId="6" borderId="5" xfId="0" quotePrefix="1" applyFill="1" applyBorder="1" applyAlignment="1" applyProtection="1">
      <alignment horizontal="center" vertical="top" wrapText="1"/>
      <protection locked="0"/>
    </xf>
    <xf numFmtId="0" fontId="0" fillId="6" borderId="5" xfId="0" applyFill="1" applyBorder="1" applyAlignment="1" applyProtection="1">
      <alignment horizontal="center" vertical="top" wrapText="1"/>
      <protection locked="0"/>
    </xf>
    <xf numFmtId="0" fontId="4" fillId="9" borderId="8" xfId="0" applyFont="1" applyFill="1" applyBorder="1" applyAlignment="1">
      <alignment horizontal="center"/>
    </xf>
    <xf numFmtId="0" fontId="10" fillId="9" borderId="8" xfId="0" applyFont="1" applyFill="1" applyBorder="1" applyAlignment="1">
      <alignment horizontal="center"/>
    </xf>
    <xf numFmtId="0" fontId="0" fillId="9" borderId="37" xfId="0" applyFill="1" applyBorder="1" applyAlignment="1">
      <alignment wrapText="1"/>
    </xf>
    <xf numFmtId="0" fontId="4" fillId="9" borderId="4" xfId="0" applyFont="1" applyFill="1" applyBorder="1" applyAlignment="1">
      <alignment horizontal="center"/>
    </xf>
    <xf numFmtId="0" fontId="0" fillId="9" borderId="38" xfId="0" applyFill="1" applyBorder="1" applyAlignment="1">
      <alignment horizontal="center" vertical="top" wrapText="1"/>
    </xf>
    <xf numFmtId="0" fontId="4" fillId="9" borderId="1" xfId="0" applyFont="1" applyFill="1" applyBorder="1" applyAlignment="1">
      <alignment horizontal="center"/>
    </xf>
    <xf numFmtId="0" fontId="27" fillId="9" borderId="0" xfId="0" applyFont="1" applyFill="1" applyAlignment="1">
      <alignment wrapText="1"/>
    </xf>
    <xf numFmtId="0" fontId="0" fillId="2" borderId="16" xfId="0" applyFill="1" applyBorder="1" applyAlignment="1" applyProtection="1">
      <alignment horizontal="left" wrapText="1"/>
      <protection locked="0"/>
    </xf>
    <xf numFmtId="0" fontId="20" fillId="2" borderId="1" xfId="0" applyFont="1" applyFill="1" applyBorder="1" applyAlignment="1" applyProtection="1">
      <alignment wrapText="1"/>
      <protection locked="0"/>
    </xf>
    <xf numFmtId="0" fontId="23" fillId="9" borderId="0" xfId="0" applyFont="1" applyFill="1" applyAlignment="1">
      <alignment horizontal="center"/>
    </xf>
    <xf numFmtId="0" fontId="0" fillId="4" borderId="1" xfId="0" applyFill="1" applyBorder="1" applyAlignment="1">
      <alignment horizontal="center" vertical="center"/>
    </xf>
    <xf numFmtId="0" fontId="0" fillId="9" borderId="30" xfId="0" applyFill="1" applyBorder="1"/>
    <xf numFmtId="0" fontId="17" fillId="14" borderId="27" xfId="0" applyFont="1" applyFill="1" applyBorder="1" applyAlignment="1">
      <alignment wrapText="1"/>
    </xf>
    <xf numFmtId="0" fontId="28" fillId="9" borderId="28" xfId="0" applyFont="1" applyFill="1" applyBorder="1" applyAlignment="1">
      <alignment horizontal="center" vertical="center"/>
    </xf>
    <xf numFmtId="0" fontId="24" fillId="4" borderId="1" xfId="0" applyFont="1" applyFill="1" applyBorder="1" applyAlignment="1">
      <alignment horizontal="center" vertical="center" wrapText="1"/>
    </xf>
    <xf numFmtId="0" fontId="0" fillId="9" borderId="39" xfId="0" applyFill="1" applyBorder="1"/>
    <xf numFmtId="0" fontId="24" fillId="9" borderId="0" xfId="0" applyFont="1" applyFill="1" applyAlignment="1">
      <alignment horizontal="center" vertical="center" wrapText="1"/>
    </xf>
    <xf numFmtId="0" fontId="24" fillId="14" borderId="0" xfId="0" applyFont="1" applyFill="1" applyAlignment="1">
      <alignment horizontal="center" vertical="center" wrapText="1"/>
    </xf>
    <xf numFmtId="0" fontId="0" fillId="13" borderId="1" xfId="0" applyFill="1" applyBorder="1" applyAlignment="1">
      <alignment horizontal="center" vertical="center"/>
    </xf>
    <xf numFmtId="0" fontId="0" fillId="9" borderId="29" xfId="0" applyFill="1" applyBorder="1"/>
    <xf numFmtId="0" fontId="26" fillId="9" borderId="0" xfId="0" applyFont="1" applyFill="1" applyAlignment="1">
      <alignment horizontal="center" vertical="center" wrapText="1"/>
    </xf>
    <xf numFmtId="0" fontId="0" fillId="14" borderId="9" xfId="0" applyFill="1" applyBorder="1" applyAlignment="1">
      <alignment vertical="center" wrapText="1"/>
    </xf>
    <xf numFmtId="0" fontId="14" fillId="14" borderId="0" xfId="0" applyFont="1" applyFill="1" applyAlignment="1">
      <alignment vertical="center" wrapText="1"/>
    </xf>
    <xf numFmtId="0" fontId="0" fillId="14" borderId="0" xfId="0" applyFill="1" applyAlignment="1">
      <alignment horizontal="center" vertical="center"/>
    </xf>
    <xf numFmtId="0" fontId="0" fillId="14" borderId="0" xfId="0" applyFill="1" applyAlignment="1">
      <alignment horizontal="center"/>
    </xf>
    <xf numFmtId="0" fontId="30" fillId="9" borderId="0" xfId="0" applyFont="1" applyFill="1" applyAlignment="1">
      <alignment vertical="center" wrapText="1"/>
    </xf>
    <xf numFmtId="0" fontId="30" fillId="9" borderId="0" xfId="0" applyFont="1" applyFill="1" applyAlignment="1">
      <alignment horizontal="center" vertical="center" wrapText="1"/>
    </xf>
    <xf numFmtId="0" fontId="30" fillId="14" borderId="0" xfId="0" applyFont="1" applyFill="1" applyAlignment="1">
      <alignment horizontal="center" vertical="center" wrapText="1"/>
    </xf>
    <xf numFmtId="0" fontId="28" fillId="9" borderId="0" xfId="0" applyFont="1" applyFill="1" applyAlignment="1">
      <alignment horizontal="center" vertical="center"/>
    </xf>
    <xf numFmtId="0" fontId="16" fillId="14" borderId="28" xfId="0" applyFont="1" applyFill="1" applyBorder="1"/>
    <xf numFmtId="0" fontId="0" fillId="14" borderId="9" xfId="0" applyFill="1" applyBorder="1"/>
    <xf numFmtId="0" fontId="0" fillId="14" borderId="1" xfId="0" applyFill="1" applyBorder="1"/>
    <xf numFmtId="0" fontId="0" fillId="14" borderId="11" xfId="0" applyFill="1" applyBorder="1"/>
    <xf numFmtId="0" fontId="14" fillId="14" borderId="0" xfId="0" applyFont="1" applyFill="1"/>
    <xf numFmtId="0" fontId="0" fillId="14" borderId="31" xfId="0" applyFill="1" applyBorder="1" applyAlignment="1">
      <alignment vertical="center"/>
    </xf>
    <xf numFmtId="0" fontId="0" fillId="14" borderId="0" xfId="0" applyFill="1" applyAlignment="1">
      <alignment vertical="center"/>
    </xf>
    <xf numFmtId="0" fontId="17" fillId="14" borderId="0" xfId="0" applyFont="1" applyFill="1" applyAlignment="1">
      <alignment vertical="center"/>
    </xf>
    <xf numFmtId="0" fontId="26" fillId="9" borderId="0" xfId="0" applyFont="1" applyFill="1" applyAlignment="1">
      <alignment vertical="center" wrapText="1"/>
    </xf>
    <xf numFmtId="0" fontId="14" fillId="9" borderId="27" xfId="0" applyFont="1" applyFill="1" applyBorder="1" applyAlignment="1">
      <alignment vertical="center" wrapText="1"/>
    </xf>
    <xf numFmtId="0" fontId="0" fillId="9" borderId="0" xfId="0" applyFill="1" applyAlignment="1">
      <alignment vertical="center"/>
    </xf>
    <xf numFmtId="0" fontId="26" fillId="14" borderId="0" xfId="0" applyFont="1" applyFill="1" applyAlignment="1">
      <alignment vertical="center" wrapText="1"/>
    </xf>
    <xf numFmtId="0" fontId="17" fillId="14" borderId="0" xfId="0" applyFont="1" applyFill="1" applyAlignment="1">
      <alignment horizontal="center" vertical="center" wrapText="1"/>
    </xf>
    <xf numFmtId="0" fontId="28" fillId="14" borderId="0" xfId="0" applyFont="1" applyFill="1" applyAlignment="1">
      <alignment horizontal="center" vertical="center"/>
    </xf>
    <xf numFmtId="0" fontId="21" fillId="9" borderId="39" xfId="0" applyFont="1" applyFill="1" applyBorder="1" applyAlignment="1">
      <alignment horizontal="center" vertical="center"/>
    </xf>
    <xf numFmtId="0" fontId="17" fillId="14" borderId="4" xfId="0" applyFont="1" applyFill="1" applyBorder="1"/>
    <xf numFmtId="0" fontId="0" fillId="14" borderId="0" xfId="0" applyFill="1" applyAlignment="1">
      <alignment horizontal="center" wrapText="1"/>
    </xf>
    <xf numFmtId="0" fontId="0" fillId="9" borderId="15" xfId="0" applyFill="1" applyBorder="1"/>
    <xf numFmtId="0" fontId="14" fillId="15" borderId="16" xfId="0" applyFont="1" applyFill="1" applyBorder="1" applyAlignment="1">
      <alignment horizontal="center" vertical="center"/>
    </xf>
    <xf numFmtId="0" fontId="0" fillId="8" borderId="40" xfId="0" applyFill="1" applyBorder="1"/>
    <xf numFmtId="0" fontId="14" fillId="8" borderId="41" xfId="0" applyFont="1" applyFill="1" applyBorder="1"/>
    <xf numFmtId="165" fontId="0" fillId="8" borderId="27" xfId="0" applyNumberFormat="1" applyFill="1" applyBorder="1" applyAlignment="1">
      <alignment horizontal="center" vertical="center" wrapText="1"/>
    </xf>
    <xf numFmtId="165" fontId="0" fillId="8" borderId="31" xfId="0" applyNumberFormat="1" applyFill="1" applyBorder="1" applyAlignment="1">
      <alignment horizontal="center" vertical="center" wrapText="1"/>
    </xf>
    <xf numFmtId="0" fontId="14" fillId="9" borderId="27" xfId="0" applyFont="1" applyFill="1" applyBorder="1"/>
    <xf numFmtId="165" fontId="0" fillId="8" borderId="28" xfId="0" applyNumberFormat="1" applyFill="1" applyBorder="1" applyAlignment="1">
      <alignment horizontal="center" vertical="center" wrapText="1"/>
    </xf>
    <xf numFmtId="165" fontId="0" fillId="8" borderId="26" xfId="0" applyNumberFormat="1" applyFill="1" applyBorder="1" applyAlignment="1">
      <alignment horizontal="center" vertical="center" wrapText="1"/>
    </xf>
    <xf numFmtId="0" fontId="14" fillId="9" borderId="28" xfId="0" applyFont="1" applyFill="1" applyBorder="1"/>
    <xf numFmtId="0" fontId="0" fillId="4" borderId="3" xfId="0" applyFill="1" applyBorder="1" applyAlignment="1">
      <alignment horizontal="left" vertical="center"/>
    </xf>
    <xf numFmtId="6" fontId="0" fillId="13" borderId="0" xfId="0" applyNumberFormat="1" applyFill="1"/>
    <xf numFmtId="6" fontId="0" fillId="4" borderId="0" xfId="0" applyNumberFormat="1" applyFill="1"/>
    <xf numFmtId="0" fontId="14" fillId="4" borderId="3" xfId="0" applyFont="1" applyFill="1" applyBorder="1" applyAlignment="1">
      <alignment horizontal="left" vertical="center"/>
    </xf>
    <xf numFmtId="0" fontId="0" fillId="9" borderId="1" xfId="0" applyFill="1" applyBorder="1" applyAlignment="1">
      <alignment vertical="center" wrapText="1"/>
    </xf>
    <xf numFmtId="6" fontId="0" fillId="9" borderId="0" xfId="0" applyNumberFormat="1" applyFill="1"/>
    <xf numFmtId="5" fontId="0" fillId="4" borderId="0" xfId="2" applyNumberFormat="1" applyFont="1" applyFill="1" applyBorder="1" applyAlignment="1" applyProtection="1">
      <alignment wrapText="1"/>
    </xf>
    <xf numFmtId="0" fontId="0" fillId="4" borderId="29" xfId="0" applyFill="1" applyBorder="1" applyAlignment="1">
      <alignment vertical="center" wrapText="1"/>
    </xf>
    <xf numFmtId="0" fontId="14" fillId="4" borderId="26" xfId="0" applyFont="1" applyFill="1" applyBorder="1" applyAlignment="1">
      <alignment horizontal="left" vertical="center"/>
    </xf>
    <xf numFmtId="6" fontId="14" fillId="14" borderId="28" xfId="0" applyNumberFormat="1" applyFont="1" applyFill="1" applyBorder="1"/>
    <xf numFmtId="0" fontId="0" fillId="15" borderId="28" xfId="0" applyFill="1" applyBorder="1"/>
    <xf numFmtId="165" fontId="14" fillId="15" borderId="28" xfId="0" applyNumberFormat="1" applyFont="1" applyFill="1" applyBorder="1"/>
    <xf numFmtId="0" fontId="14" fillId="9" borderId="0" xfId="0" applyFont="1" applyFill="1" applyAlignment="1">
      <alignment horizontal="center"/>
    </xf>
    <xf numFmtId="0" fontId="14" fillId="4" borderId="0" xfId="0" applyFont="1" applyFill="1" applyAlignment="1">
      <alignment vertical="center" wrapText="1"/>
    </xf>
    <xf numFmtId="165" fontId="21" fillId="15" borderId="1" xfId="0" applyNumberFormat="1" applyFont="1" applyFill="1" applyBorder="1" applyAlignment="1">
      <alignment horizontal="center"/>
    </xf>
    <xf numFmtId="0" fontId="14"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6" fontId="0" fillId="14" borderId="0" xfId="0" applyNumberFormat="1" applyFill="1"/>
    <xf numFmtId="0" fontId="26" fillId="9" borderId="0" xfId="0" applyFont="1" applyFill="1"/>
    <xf numFmtId="0" fontId="14"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4" fillId="4" borderId="39" xfId="0" applyFont="1" applyFill="1" applyBorder="1" applyAlignment="1">
      <alignment horizontal="center" vertical="center"/>
    </xf>
    <xf numFmtId="0" fontId="14" fillId="14" borderId="0" xfId="0" applyFont="1" applyFill="1" applyAlignment="1">
      <alignment horizontal="center" vertical="center" wrapText="1"/>
    </xf>
    <xf numFmtId="0" fontId="0" fillId="9" borderId="0" xfId="0" applyFill="1" applyAlignment="1">
      <alignment vertical="top" wrapText="1"/>
    </xf>
    <xf numFmtId="0" fontId="0" fillId="9" borderId="2" xfId="0" applyFill="1" applyBorder="1"/>
    <xf numFmtId="0" fontId="14" fillId="18" borderId="30" xfId="0" applyFont="1" applyFill="1" applyBorder="1" applyAlignment="1">
      <alignment horizontal="center"/>
    </xf>
    <xf numFmtId="0" fontId="14" fillId="18" borderId="27" xfId="0" applyFont="1" applyFill="1" applyBorder="1" applyAlignment="1">
      <alignment horizontal="center"/>
    </xf>
    <xf numFmtId="0" fontId="0" fillId="18" borderId="27" xfId="0" applyFill="1" applyBorder="1"/>
    <xf numFmtId="0" fontId="0" fillId="18" borderId="31" xfId="0" applyFill="1" applyBorder="1"/>
    <xf numFmtId="0" fontId="0" fillId="18" borderId="39" xfId="0" applyFill="1" applyBorder="1"/>
    <xf numFmtId="0" fontId="0" fillId="18" borderId="0" xfId="0" applyFill="1"/>
    <xf numFmtId="0" fontId="0" fillId="18" borderId="3" xfId="0" applyFill="1" applyBorder="1"/>
    <xf numFmtId="0" fontId="0" fillId="18" borderId="2" xfId="0" applyFill="1" applyBorder="1"/>
    <xf numFmtId="0" fontId="0" fillId="18" borderId="23" xfId="0" applyFill="1" applyBorder="1"/>
    <xf numFmtId="0" fontId="0" fillId="18" borderId="15" xfId="0" applyFill="1" applyBorder="1"/>
    <xf numFmtId="0" fontId="0" fillId="18" borderId="39" xfId="0" applyFill="1" applyBorder="1" applyAlignment="1">
      <alignment horizontal="center"/>
    </xf>
    <xf numFmtId="0" fontId="0" fillId="18" borderId="0" xfId="0" applyFill="1" applyAlignment="1">
      <alignment horizontal="center"/>
    </xf>
    <xf numFmtId="0" fontId="0" fillId="18" borderId="3" xfId="0" applyFill="1" applyBorder="1" applyAlignment="1">
      <alignment horizontal="center"/>
    </xf>
    <xf numFmtId="0" fontId="0" fillId="18" borderId="29" xfId="0" applyFill="1" applyBorder="1" applyAlignment="1">
      <alignment horizontal="center"/>
    </xf>
    <xf numFmtId="0" fontId="0" fillId="18" borderId="28" xfId="0" applyFill="1" applyBorder="1" applyAlignment="1">
      <alignment horizontal="center"/>
    </xf>
    <xf numFmtId="16" fontId="0" fillId="18" borderId="28" xfId="0" applyNumberFormat="1" applyFill="1" applyBorder="1" applyAlignment="1">
      <alignment horizontal="center"/>
    </xf>
    <xf numFmtId="0" fontId="0" fillId="18" borderId="26" xfId="0" applyFill="1" applyBorder="1" applyAlignment="1">
      <alignment horizontal="center"/>
    </xf>
    <xf numFmtId="0" fontId="0" fillId="18" borderId="29" xfId="0" applyFill="1" applyBorder="1"/>
    <xf numFmtId="0" fontId="0" fillId="18" borderId="28" xfId="0" applyFill="1" applyBorder="1"/>
    <xf numFmtId="0" fontId="0" fillId="18" borderId="23" xfId="0" applyFill="1" applyBorder="1" applyAlignment="1">
      <alignment horizontal="center"/>
    </xf>
    <xf numFmtId="0" fontId="0" fillId="18" borderId="39" xfId="0" applyFill="1" applyBorder="1" applyAlignment="1">
      <alignment horizontal="left" wrapText="1"/>
    </xf>
    <xf numFmtId="0" fontId="0" fillId="18" borderId="26" xfId="0" applyFill="1" applyBorder="1"/>
    <xf numFmtId="0" fontId="0" fillId="9" borderId="2" xfId="0" applyFill="1" applyBorder="1" applyAlignment="1">
      <alignment wrapText="1"/>
    </xf>
    <xf numFmtId="0" fontId="0" fillId="9" borderId="4" xfId="0" applyFill="1" applyBorder="1"/>
    <xf numFmtId="0" fontId="0" fillId="9" borderId="4" xfId="0" applyFill="1" applyBorder="1" applyAlignment="1">
      <alignment wrapText="1"/>
    </xf>
    <xf numFmtId="164" fontId="4" fillId="9" borderId="24" xfId="0" applyNumberFormat="1" applyFont="1" applyFill="1" applyBorder="1"/>
    <xf numFmtId="0" fontId="4" fillId="9" borderId="33" xfId="0" quotePrefix="1" applyFont="1" applyFill="1" applyBorder="1" applyAlignment="1">
      <alignment horizontal="left"/>
    </xf>
    <xf numFmtId="0" fontId="32" fillId="9" borderId="0" xfId="0" applyFont="1" applyFill="1"/>
    <xf numFmtId="0" fontId="0" fillId="18" borderId="16" xfId="0" applyFill="1" applyBorder="1"/>
    <xf numFmtId="0" fontId="26" fillId="9" borderId="1" xfId="0" applyFont="1" applyFill="1" applyBorder="1" applyAlignment="1">
      <alignment horizontal="center"/>
    </xf>
    <xf numFmtId="0" fontId="26" fillId="9" borderId="0" xfId="0" applyFont="1" applyFill="1" applyAlignment="1">
      <alignment horizontal="center"/>
    </xf>
    <xf numFmtId="0" fontId="14" fillId="13" borderId="0" xfId="0" applyFont="1" applyFill="1"/>
    <xf numFmtId="0" fontId="35" fillId="13" borderId="23" xfId="0" applyFont="1" applyFill="1" applyBorder="1" applyAlignment="1">
      <alignment horizontal="center" wrapText="1"/>
    </xf>
    <xf numFmtId="0" fontId="35" fillId="13" borderId="1" xfId="0" applyFont="1" applyFill="1" applyBorder="1" applyAlignment="1">
      <alignment horizontal="center" wrapText="1"/>
    </xf>
    <xf numFmtId="0" fontId="0" fillId="9" borderId="22" xfId="0" applyFill="1" applyBorder="1"/>
    <xf numFmtId="0" fontId="0" fillId="9" borderId="22" xfId="0" applyFill="1" applyBorder="1" applyAlignment="1">
      <alignment wrapText="1"/>
    </xf>
    <xf numFmtId="0" fontId="24" fillId="13" borderId="1" xfId="0" applyFont="1" applyFill="1" applyBorder="1" applyAlignment="1">
      <alignment horizontal="center" vertical="center" wrapText="1"/>
    </xf>
    <xf numFmtId="0" fontId="0" fillId="13" borderId="1" xfId="0" applyFill="1" applyBorder="1" applyAlignment="1">
      <alignment horizontal="center" vertical="center" wrapText="1"/>
    </xf>
    <xf numFmtId="0" fontId="26" fillId="13" borderId="1" xfId="0" applyFont="1" applyFill="1" applyBorder="1" applyAlignment="1">
      <alignment horizontal="center" vertical="center" wrapText="1"/>
    </xf>
    <xf numFmtId="0" fontId="26" fillId="13" borderId="1" xfId="0" applyFont="1" applyFill="1" applyBorder="1" applyAlignment="1">
      <alignment horizontal="center" vertical="center"/>
    </xf>
    <xf numFmtId="0" fontId="13" fillId="9" borderId="2" xfId="6" applyFill="1" applyBorder="1" applyAlignment="1" applyProtection="1">
      <alignment wrapText="1"/>
    </xf>
    <xf numFmtId="0" fontId="24" fillId="9" borderId="1" xfId="0" applyFont="1" applyFill="1" applyBorder="1" applyAlignment="1">
      <alignment horizontal="center" vertical="center" wrapText="1"/>
    </xf>
    <xf numFmtId="0" fontId="0" fillId="9" borderId="23" xfId="0" applyFill="1" applyBorder="1" applyAlignment="1">
      <alignment vertical="center" wrapText="1"/>
    </xf>
    <xf numFmtId="0" fontId="14" fillId="9" borderId="1" xfId="0" applyFont="1" applyFill="1" applyBorder="1" applyAlignment="1" applyProtection="1">
      <alignment horizontal="center" vertical="center"/>
      <protection locked="0"/>
    </xf>
    <xf numFmtId="0" fontId="0" fillId="9" borderId="23" xfId="0" applyFill="1" applyBorder="1" applyAlignment="1">
      <alignment horizontal="left" vertical="center" wrapText="1"/>
    </xf>
    <xf numFmtId="0" fontId="0" fillId="9" borderId="1" xfId="0" applyFill="1" applyBorder="1" applyAlignment="1" applyProtection="1">
      <alignment horizontal="center" vertical="center"/>
      <protection locked="0"/>
    </xf>
    <xf numFmtId="0" fontId="26" fillId="9" borderId="1" xfId="0" applyFont="1" applyFill="1" applyBorder="1" applyAlignment="1">
      <alignment horizontal="center" vertical="center" wrapText="1"/>
    </xf>
    <xf numFmtId="0" fontId="0" fillId="9" borderId="16" xfId="0" applyFill="1" applyBorder="1" applyAlignment="1" applyProtection="1">
      <alignment horizontal="center" vertical="center"/>
      <protection locked="0"/>
    </xf>
    <xf numFmtId="165" fontId="0" fillId="8" borderId="0" xfId="0" applyNumberFormat="1" applyFill="1" applyAlignment="1">
      <alignment horizontal="center" vertical="center" wrapText="1"/>
    </xf>
    <xf numFmtId="165" fontId="0" fillId="8" borderId="3" xfId="0" applyNumberFormat="1" applyFill="1" applyBorder="1" applyAlignment="1">
      <alignment horizontal="center" vertical="center" wrapText="1"/>
    </xf>
    <xf numFmtId="0" fontId="0" fillId="9" borderId="2" xfId="0" applyFill="1" applyBorder="1" applyAlignment="1">
      <alignment horizontal="center"/>
    </xf>
    <xf numFmtId="0" fontId="20" fillId="2" borderId="1" xfId="0" applyFont="1" applyFill="1" applyBorder="1" applyProtection="1">
      <protection locked="0"/>
    </xf>
    <xf numFmtId="165" fontId="14" fillId="15" borderId="31" xfId="0" applyNumberFormat="1" applyFont="1" applyFill="1" applyBorder="1" applyAlignment="1">
      <alignment horizontal="center" vertical="center"/>
    </xf>
    <xf numFmtId="165" fontId="14" fillId="15" borderId="26" xfId="0" applyNumberFormat="1" applyFont="1" applyFill="1" applyBorder="1" applyAlignment="1">
      <alignment horizontal="center" vertical="center"/>
    </xf>
    <xf numFmtId="0" fontId="16" fillId="14" borderId="1" xfId="0" applyFont="1" applyFill="1" applyBorder="1"/>
    <xf numFmtId="0" fontId="0" fillId="4" borderId="1" xfId="0" applyFill="1" applyBorder="1" applyAlignment="1">
      <alignment horizontal="left" vertical="center" wrapText="1"/>
    </xf>
    <xf numFmtId="0" fontId="36" fillId="2" borderId="0" xfId="6" applyFont="1" applyFill="1" applyProtection="1"/>
    <xf numFmtId="0" fontId="39" fillId="9" borderId="17" xfId="0" applyFont="1" applyFill="1" applyBorder="1" applyAlignment="1">
      <alignment horizontal="center"/>
    </xf>
    <xf numFmtId="164" fontId="39" fillId="9" borderId="24" xfId="0" applyNumberFormat="1" applyFont="1" applyFill="1" applyBorder="1"/>
    <xf numFmtId="0" fontId="39" fillId="9" borderId="1" xfId="0" applyFont="1" applyFill="1" applyBorder="1"/>
    <xf numFmtId="0" fontId="37" fillId="9" borderId="22" xfId="0" applyFont="1" applyFill="1" applyBorder="1" applyAlignment="1">
      <alignment wrapText="1"/>
    </xf>
    <xf numFmtId="0" fontId="37" fillId="9" borderId="2" xfId="0" applyFont="1" applyFill="1" applyBorder="1"/>
    <xf numFmtId="0" fontId="37" fillId="9" borderId="2" xfId="0" applyFont="1" applyFill="1" applyBorder="1" applyAlignment="1">
      <alignment wrapText="1"/>
    </xf>
    <xf numFmtId="0" fontId="37" fillId="18" borderId="30" xfId="0" applyFont="1" applyFill="1" applyBorder="1"/>
    <xf numFmtId="0" fontId="37" fillId="18" borderId="31" xfId="0" applyFont="1" applyFill="1" applyBorder="1" applyAlignment="1">
      <alignment horizontal="center"/>
    </xf>
    <xf numFmtId="0" fontId="37" fillId="18" borderId="39" xfId="0" applyFont="1" applyFill="1" applyBorder="1"/>
    <xf numFmtId="0" fontId="37" fillId="18" borderId="3" xfId="0" applyFont="1" applyFill="1" applyBorder="1" applyAlignment="1">
      <alignment horizontal="center"/>
    </xf>
    <xf numFmtId="0" fontId="37" fillId="18" borderId="0" xfId="0" applyFont="1" applyFill="1"/>
    <xf numFmtId="0" fontId="37" fillId="9" borderId="4" xfId="0" applyFont="1" applyFill="1" applyBorder="1" applyAlignment="1">
      <alignment wrapText="1"/>
    </xf>
    <xf numFmtId="0" fontId="37" fillId="9" borderId="1" xfId="0" applyFont="1" applyFill="1" applyBorder="1" applyAlignment="1">
      <alignment wrapText="1"/>
    </xf>
    <xf numFmtId="0" fontId="39" fillId="9" borderId="23" xfId="0" applyFont="1" applyFill="1" applyBorder="1" applyAlignment="1">
      <alignment horizontal="center" vertical="center" wrapText="1"/>
    </xf>
    <xf numFmtId="0" fontId="39" fillId="6" borderId="15" xfId="0" applyFont="1" applyFill="1" applyBorder="1" applyAlignment="1">
      <alignment horizontal="center" vertical="center" wrapText="1"/>
    </xf>
    <xf numFmtId="0" fontId="39" fillId="2" borderId="15" xfId="0" applyFont="1" applyFill="1" applyBorder="1" applyAlignment="1">
      <alignment horizontal="center" vertical="center" wrapText="1"/>
    </xf>
    <xf numFmtId="0" fontId="39" fillId="13" borderId="15" xfId="0" applyFont="1" applyFill="1" applyBorder="1" applyAlignment="1">
      <alignment horizontal="center" vertical="center" wrapText="1"/>
    </xf>
    <xf numFmtId="0" fontId="39" fillId="5" borderId="15" xfId="0" applyFont="1" applyFill="1" applyBorder="1" applyAlignment="1">
      <alignment horizontal="center" vertical="center" wrapText="1"/>
    </xf>
    <xf numFmtId="0" fontId="39" fillId="10" borderId="15" xfId="0" applyFont="1" applyFill="1" applyBorder="1" applyAlignment="1">
      <alignment horizontal="center" vertical="center" wrapText="1"/>
    </xf>
    <xf numFmtId="0" fontId="39" fillId="11" borderId="15" xfId="0" applyFont="1" applyFill="1" applyBorder="1" applyAlignment="1">
      <alignment horizontal="center" vertical="center" wrapText="1"/>
    </xf>
    <xf numFmtId="0" fontId="39" fillId="4" borderId="16" xfId="0" applyFont="1" applyFill="1" applyBorder="1" applyAlignment="1">
      <alignment horizontal="center" vertical="center" wrapText="1"/>
    </xf>
    <xf numFmtId="0" fontId="38" fillId="5" borderId="1" xfId="6" applyFont="1" applyFill="1" applyBorder="1" applyAlignment="1" applyProtection="1">
      <alignment horizontal="left" vertical="center" wrapText="1"/>
    </xf>
    <xf numFmtId="0" fontId="39" fillId="9" borderId="1" xfId="0" applyFont="1" applyFill="1" applyBorder="1" applyAlignment="1">
      <alignment horizontal="center" vertical="center" wrapText="1"/>
    </xf>
    <xf numFmtId="0" fontId="37" fillId="9" borderId="0" xfId="0" applyFont="1" applyFill="1" applyAlignment="1">
      <alignment wrapText="1"/>
    </xf>
    <xf numFmtId="0" fontId="37" fillId="13" borderId="1" xfId="0" applyFont="1" applyFill="1" applyBorder="1" applyAlignment="1">
      <alignment vertical="center" wrapText="1"/>
    </xf>
    <xf numFmtId="0" fontId="41" fillId="4" borderId="1" xfId="0" applyFont="1" applyFill="1" applyBorder="1" applyAlignment="1">
      <alignment vertical="center" wrapText="1"/>
    </xf>
    <xf numFmtId="0" fontId="37" fillId="9" borderId="0" xfId="0" applyFont="1" applyFill="1"/>
    <xf numFmtId="0" fontId="39" fillId="9" borderId="1" xfId="0" applyFont="1" applyFill="1" applyBorder="1" applyAlignment="1">
      <alignment horizontal="center"/>
    </xf>
    <xf numFmtId="0" fontId="41" fillId="9" borderId="1" xfId="0" applyFont="1" applyFill="1" applyBorder="1" applyAlignment="1">
      <alignment horizontal="left" wrapText="1"/>
    </xf>
    <xf numFmtId="0" fontId="37" fillId="9" borderId="22" xfId="0" applyFont="1" applyFill="1" applyBorder="1" applyAlignment="1">
      <alignment horizontal="center"/>
    </xf>
    <xf numFmtId="0" fontId="37" fillId="9" borderId="2" xfId="0" applyFont="1" applyFill="1" applyBorder="1" applyAlignment="1">
      <alignment horizontal="center" vertical="center"/>
    </xf>
    <xf numFmtId="0" fontId="37" fillId="9" borderId="2" xfId="0" applyFont="1" applyFill="1" applyBorder="1" applyAlignment="1">
      <alignment horizontal="center"/>
    </xf>
    <xf numFmtId="0" fontId="38" fillId="5" borderId="2" xfId="6" applyFont="1" applyFill="1" applyBorder="1" applyProtection="1"/>
    <xf numFmtId="0" fontId="37" fillId="9" borderId="4" xfId="0" applyFont="1" applyFill="1" applyBorder="1" applyAlignment="1">
      <alignment horizontal="center" vertical="center"/>
    </xf>
    <xf numFmtId="0" fontId="37" fillId="18" borderId="23" xfId="0" applyFont="1" applyFill="1" applyBorder="1"/>
    <xf numFmtId="0" fontId="37" fillId="18" borderId="28" xfId="0" applyFont="1" applyFill="1" applyBorder="1"/>
    <xf numFmtId="0" fontId="37" fillId="18" borderId="0" xfId="0" applyFont="1" applyFill="1" applyAlignment="1">
      <alignment vertical="center"/>
    </xf>
    <xf numFmtId="0" fontId="37" fillId="9" borderId="4" xfId="0" applyFont="1" applyFill="1" applyBorder="1"/>
    <xf numFmtId="0" fontId="39" fillId="16" borderId="23" xfId="0" applyFont="1" applyFill="1" applyBorder="1" applyAlignment="1">
      <alignment horizontal="center" vertical="center" wrapText="1"/>
    </xf>
    <xf numFmtId="0" fontId="39" fillId="16" borderId="15" xfId="0" applyFont="1" applyFill="1" applyBorder="1" applyAlignment="1">
      <alignment horizontal="center" vertical="center" wrapText="1"/>
    </xf>
    <xf numFmtId="0" fontId="39" fillId="16" borderId="16" xfId="0" applyFont="1" applyFill="1" applyBorder="1" applyAlignment="1">
      <alignment horizontal="center" vertical="center" wrapText="1"/>
    </xf>
    <xf numFmtId="0" fontId="39" fillId="16" borderId="2" xfId="0" applyFont="1" applyFill="1" applyBorder="1"/>
    <xf numFmtId="0" fontId="39" fillId="16" borderId="4" xfId="0" applyFont="1" applyFill="1" applyBorder="1"/>
    <xf numFmtId="0" fontId="39" fillId="9" borderId="23" xfId="0" applyFont="1" applyFill="1" applyBorder="1" applyAlignment="1">
      <alignment horizontal="left"/>
    </xf>
    <xf numFmtId="0" fontId="37" fillId="9" borderId="29" xfId="0" applyFont="1" applyFill="1" applyBorder="1" applyAlignment="1">
      <alignment horizontal="center" vertical="center"/>
    </xf>
    <xf numFmtId="0" fontId="37" fillId="9" borderId="28" xfId="0" applyFont="1" applyFill="1" applyBorder="1" applyAlignment="1">
      <alignment horizontal="center" vertical="center" wrapText="1"/>
    </xf>
    <xf numFmtId="0" fontId="37" fillId="9" borderId="23" xfId="0" applyFont="1" applyFill="1" applyBorder="1" applyAlignment="1">
      <alignment wrapText="1"/>
    </xf>
    <xf numFmtId="0" fontId="37" fillId="9" borderId="16" xfId="0" applyFont="1" applyFill="1" applyBorder="1" applyAlignment="1">
      <alignment wrapText="1"/>
    </xf>
    <xf numFmtId="0" fontId="37" fillId="9" borderId="29" xfId="0" applyFont="1" applyFill="1" applyBorder="1" applyAlignment="1">
      <alignment horizontal="center" wrapText="1"/>
    </xf>
    <xf numFmtId="0" fontId="37" fillId="9" borderId="3" xfId="0" applyFont="1" applyFill="1" applyBorder="1" applyAlignment="1">
      <alignment wrapText="1"/>
    </xf>
    <xf numFmtId="0" fontId="39" fillId="9" borderId="16" xfId="0" applyFont="1" applyFill="1" applyBorder="1" applyAlignment="1">
      <alignment horizontal="center" vertical="center" wrapText="1"/>
    </xf>
    <xf numFmtId="0" fontId="1" fillId="10" borderId="45" xfId="0" applyFont="1" applyFill="1" applyBorder="1" applyAlignment="1">
      <alignment horizontal="center" vertical="center" wrapText="1"/>
    </xf>
    <xf numFmtId="0" fontId="39" fillId="5" borderId="45" xfId="0" applyFont="1" applyFill="1" applyBorder="1" applyAlignment="1">
      <alignment horizontal="center" vertical="center" wrapText="1"/>
    </xf>
    <xf numFmtId="0" fontId="37" fillId="4" borderId="1" xfId="0" applyFont="1" applyFill="1" applyBorder="1" applyAlignment="1">
      <alignment vertical="center" wrapText="1"/>
    </xf>
    <xf numFmtId="0" fontId="37" fillId="14" borderId="0" xfId="0" applyFont="1" applyFill="1" applyAlignment="1">
      <alignment horizontal="center" vertical="center" wrapText="1"/>
    </xf>
    <xf numFmtId="0" fontId="37" fillId="13" borderId="1" xfId="0" applyFont="1" applyFill="1" applyBorder="1" applyAlignment="1">
      <alignment horizontal="left" vertical="center" wrapText="1"/>
    </xf>
    <xf numFmtId="0" fontId="40" fillId="13" borderId="1" xfId="0" applyFont="1" applyFill="1" applyBorder="1" applyAlignment="1">
      <alignment wrapText="1"/>
    </xf>
    <xf numFmtId="0" fontId="37" fillId="9" borderId="16" xfId="0" applyFont="1" applyFill="1" applyBorder="1" applyAlignment="1">
      <alignment horizontal="right" wrapText="1"/>
    </xf>
    <xf numFmtId="0" fontId="40" fillId="4" borderId="1" xfId="0" applyFont="1" applyFill="1" applyBorder="1" applyAlignment="1">
      <alignment vertical="center" wrapText="1"/>
    </xf>
    <xf numFmtId="0" fontId="37" fillId="14" borderId="27" xfId="0" applyFont="1" applyFill="1" applyBorder="1" applyAlignment="1">
      <alignment vertical="center"/>
    </xf>
    <xf numFmtId="0" fontId="37" fillId="14" borderId="0" xfId="0" applyFont="1" applyFill="1" applyAlignment="1">
      <alignment vertical="center"/>
    </xf>
    <xf numFmtId="0" fontId="37" fillId="14" borderId="28" xfId="0" applyFont="1" applyFill="1" applyBorder="1" applyAlignment="1">
      <alignment vertical="center"/>
    </xf>
    <xf numFmtId="0" fontId="39" fillId="8" borderId="19" xfId="0" applyFont="1" applyFill="1" applyBorder="1" applyAlignment="1">
      <alignment horizontal="center" vertical="center" wrapText="1"/>
    </xf>
    <xf numFmtId="0" fontId="39" fillId="8" borderId="15" xfId="0" applyFont="1" applyFill="1" applyBorder="1" applyAlignment="1">
      <alignment horizontal="center" vertical="center" wrapText="1"/>
    </xf>
    <xf numFmtId="0" fontId="39" fillId="8" borderId="16" xfId="0" applyFont="1" applyFill="1" applyBorder="1" applyAlignment="1">
      <alignment horizontal="center" vertical="center" wrapText="1"/>
    </xf>
    <xf numFmtId="0" fontId="39" fillId="8" borderId="41" xfId="0" applyFont="1" applyFill="1" applyBorder="1" applyAlignment="1">
      <alignment vertical="center"/>
    </xf>
    <xf numFmtId="0" fontId="39" fillId="8" borderId="44" xfId="0" applyFont="1" applyFill="1" applyBorder="1" applyAlignment="1">
      <alignment vertical="center"/>
    </xf>
    <xf numFmtId="0" fontId="39" fillId="4" borderId="1" xfId="0" applyFont="1" applyFill="1" applyBorder="1" applyAlignment="1">
      <alignment wrapText="1"/>
    </xf>
    <xf numFmtId="0" fontId="39" fillId="15" borderId="28" xfId="0" applyFont="1" applyFill="1" applyBorder="1" applyAlignment="1">
      <alignment horizontal="center" wrapText="1"/>
    </xf>
    <xf numFmtId="0" fontId="39" fillId="4" borderId="28" xfId="0" applyFont="1" applyFill="1" applyBorder="1"/>
    <xf numFmtId="0" fontId="39" fillId="13" borderId="4" xfId="0" applyFont="1" applyFill="1" applyBorder="1" applyAlignment="1">
      <alignment wrapText="1"/>
    </xf>
    <xf numFmtId="0" fontId="39" fillId="8" borderId="4" xfId="0" applyFont="1" applyFill="1" applyBorder="1" applyAlignment="1">
      <alignment wrapText="1"/>
    </xf>
    <xf numFmtId="0" fontId="0" fillId="19" borderId="1" xfId="0" applyFill="1" applyBorder="1" applyAlignment="1">
      <alignment wrapText="1"/>
    </xf>
    <xf numFmtId="0" fontId="37" fillId="2" borderId="0" xfId="0" applyFont="1" applyFill="1"/>
    <xf numFmtId="0" fontId="38" fillId="2" borderId="0" xfId="6" applyFont="1" applyFill="1" applyProtection="1"/>
    <xf numFmtId="0" fontId="37" fillId="2" borderId="0" xfId="0" applyFont="1" applyFill="1" applyAlignment="1">
      <alignment wrapText="1"/>
    </xf>
    <xf numFmtId="0" fontId="37" fillId="0" borderId="0" xfId="0" applyFont="1" applyAlignment="1">
      <alignment wrapText="1"/>
    </xf>
    <xf numFmtId="0" fontId="37" fillId="0" borderId="28" xfId="0" applyFont="1" applyBorder="1" applyAlignment="1">
      <alignment wrapText="1"/>
    </xf>
    <xf numFmtId="0" fontId="37" fillId="0" borderId="0" xfId="0" applyFont="1"/>
    <xf numFmtId="0" fontId="37" fillId="0" borderId="3" xfId="0" applyFont="1" applyBorder="1" applyAlignment="1">
      <alignment wrapText="1"/>
    </xf>
    <xf numFmtId="0" fontId="37" fillId="2" borderId="1" xfId="0" applyFont="1" applyFill="1" applyBorder="1" applyAlignment="1">
      <alignment horizontal="left" vertical="top" wrapText="1"/>
    </xf>
    <xf numFmtId="0" fontId="37" fillId="3" borderId="1" xfId="0" applyFont="1" applyFill="1" applyBorder="1" applyAlignment="1">
      <alignment horizontal="left" vertical="top" wrapText="1"/>
    </xf>
    <xf numFmtId="0" fontId="37" fillId="0" borderId="39" xfId="0" applyFont="1" applyBorder="1"/>
    <xf numFmtId="0" fontId="37" fillId="8" borderId="1" xfId="0" applyFont="1" applyFill="1" applyBorder="1" applyAlignment="1">
      <alignment horizontal="left" vertical="top" wrapText="1"/>
    </xf>
    <xf numFmtId="0" fontId="37" fillId="8" borderId="5" xfId="0" applyFont="1" applyFill="1" applyBorder="1" applyAlignment="1">
      <alignment horizontal="left" vertical="top" wrapText="1"/>
    </xf>
    <xf numFmtId="0" fontId="37" fillId="3" borderId="5" xfId="0" applyFont="1" applyFill="1" applyBorder="1" applyAlignment="1">
      <alignment horizontal="left" vertical="top" wrapText="1"/>
    </xf>
    <xf numFmtId="0" fontId="37" fillId="2" borderId="45" xfId="0" applyFont="1" applyFill="1" applyBorder="1" applyAlignment="1">
      <alignment horizontal="left" vertical="top" wrapText="1"/>
    </xf>
    <xf numFmtId="0" fontId="37" fillId="3" borderId="45" xfId="0" applyFont="1" applyFill="1" applyBorder="1" applyAlignment="1">
      <alignment horizontal="left" vertical="top" wrapText="1"/>
    </xf>
    <xf numFmtId="0" fontId="37" fillId="7" borderId="1" xfId="0" applyFont="1" applyFill="1" applyBorder="1" applyAlignment="1">
      <alignment horizontal="left" vertical="top" wrapText="1"/>
    </xf>
    <xf numFmtId="0" fontId="37" fillId="2" borderId="6" xfId="0" applyFont="1" applyFill="1" applyBorder="1" applyAlignment="1">
      <alignment horizontal="left" vertical="top" wrapText="1"/>
    </xf>
    <xf numFmtId="0" fontId="37" fillId="3" borderId="6" xfId="0" applyFont="1" applyFill="1" applyBorder="1" applyAlignment="1">
      <alignment horizontal="left" vertical="top" wrapText="1"/>
    </xf>
    <xf numFmtId="0" fontId="37" fillId="7" borderId="45" xfId="0" applyFont="1" applyFill="1" applyBorder="1" applyAlignment="1">
      <alignment horizontal="left" vertical="top" wrapText="1"/>
    </xf>
    <xf numFmtId="0" fontId="37" fillId="2" borderId="5" xfId="0" applyFont="1" applyFill="1" applyBorder="1" applyAlignment="1">
      <alignment horizontal="left" vertical="top" wrapText="1"/>
    </xf>
    <xf numFmtId="0" fontId="37" fillId="3" borderId="46" xfId="0" applyFont="1" applyFill="1" applyBorder="1" applyAlignment="1">
      <alignment horizontal="left" vertical="top" wrapText="1"/>
    </xf>
    <xf numFmtId="0" fontId="37" fillId="3" borderId="4" xfId="0" applyFont="1" applyFill="1" applyBorder="1" applyAlignment="1">
      <alignment horizontal="left" vertical="top" wrapText="1"/>
    </xf>
    <xf numFmtId="0" fontId="37" fillId="8" borderId="6" xfId="0" applyFont="1" applyFill="1" applyBorder="1" applyAlignment="1">
      <alignment horizontal="left" vertical="top" wrapText="1"/>
    </xf>
    <xf numFmtId="0" fontId="37" fillId="5" borderId="0" xfId="0" applyFont="1" applyFill="1"/>
    <xf numFmtId="0" fontId="37" fillId="8" borderId="45" xfId="0" applyFont="1" applyFill="1" applyBorder="1" applyAlignment="1">
      <alignment horizontal="left" vertical="top" wrapText="1"/>
    </xf>
    <xf numFmtId="0" fontId="37" fillId="3" borderId="22" xfId="0" applyFont="1" applyFill="1" applyBorder="1" applyAlignment="1">
      <alignment horizontal="left" vertical="top" wrapText="1"/>
    </xf>
    <xf numFmtId="0" fontId="37" fillId="3" borderId="2" xfId="0" applyFont="1" applyFill="1" applyBorder="1" applyAlignment="1">
      <alignment horizontal="left" vertical="top" wrapText="1"/>
    </xf>
    <xf numFmtId="0" fontId="37" fillId="3" borderId="7" xfId="0" applyFont="1" applyFill="1" applyBorder="1" applyAlignment="1">
      <alignment horizontal="left" vertical="top" wrapText="1"/>
    </xf>
    <xf numFmtId="0" fontId="40" fillId="9" borderId="0" xfId="0" applyFont="1" applyFill="1" applyAlignment="1"/>
    <xf numFmtId="0" fontId="16" fillId="9" borderId="0" xfId="0" applyFont="1" applyFill="1" applyAlignment="1"/>
    <xf numFmtId="0" fontId="47" fillId="9" borderId="1" xfId="0" applyFont="1" applyFill="1" applyBorder="1" applyAlignment="1">
      <alignment horizontal="center" vertical="center"/>
    </xf>
    <xf numFmtId="0" fontId="38" fillId="15" borderId="2" xfId="6" applyFont="1" applyFill="1" applyBorder="1" applyProtection="1"/>
    <xf numFmtId="0" fontId="38" fillId="15" borderId="2" xfId="6" applyFont="1" applyFill="1" applyBorder="1" applyAlignment="1" applyProtection="1">
      <alignment wrapText="1"/>
    </xf>
    <xf numFmtId="0" fontId="0" fillId="20" borderId="0" xfId="0" applyFill="1"/>
    <xf numFmtId="0" fontId="0" fillId="0" borderId="0" xfId="0" applyFill="1"/>
    <xf numFmtId="0" fontId="39" fillId="18" borderId="15" xfId="0" applyFont="1" applyFill="1" applyBorder="1" applyAlignment="1">
      <alignment horizontal="center"/>
    </xf>
    <xf numFmtId="0" fontId="14" fillId="18" borderId="15" xfId="0" applyFont="1" applyFill="1" applyBorder="1" applyAlignment="1">
      <alignment horizontal="center"/>
    </xf>
    <xf numFmtId="0" fontId="39" fillId="9"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39" fillId="9" borderId="22"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37" fillId="18" borderId="39" xfId="0" applyFont="1" applyFill="1" applyBorder="1" applyAlignment="1">
      <alignment horizontal="left" wrapText="1"/>
    </xf>
    <xf numFmtId="0" fontId="0" fillId="18" borderId="0" xfId="0" applyFill="1" applyAlignment="1">
      <alignment horizontal="left" wrapText="1"/>
    </xf>
    <xf numFmtId="0" fontId="0" fillId="18" borderId="3" xfId="0" applyFill="1" applyBorder="1" applyAlignment="1">
      <alignment horizontal="left" wrapText="1"/>
    </xf>
    <xf numFmtId="0" fontId="37" fillId="18" borderId="39" xfId="0" applyFont="1" applyFill="1" applyBorder="1" applyAlignment="1">
      <alignment horizontal="left"/>
    </xf>
    <xf numFmtId="0" fontId="0" fillId="18" borderId="0" xfId="0" applyFill="1" applyAlignment="1">
      <alignment horizontal="left"/>
    </xf>
    <xf numFmtId="0" fontId="0" fillId="18" borderId="3" xfId="0" applyFill="1" applyBorder="1" applyAlignment="1">
      <alignment horizontal="left"/>
    </xf>
    <xf numFmtId="0" fontId="37" fillId="18" borderId="39" xfId="0" applyFont="1" applyFill="1" applyBorder="1" applyAlignment="1">
      <alignment horizontal="left" vertical="center"/>
    </xf>
    <xf numFmtId="0" fontId="0" fillId="18" borderId="0" xfId="0" applyFill="1" applyAlignment="1">
      <alignment horizontal="left" vertical="center"/>
    </xf>
    <xf numFmtId="0" fontId="0" fillId="18" borderId="3" xfId="0" applyFill="1" applyBorder="1" applyAlignment="1">
      <alignment horizontal="left" vertical="center"/>
    </xf>
    <xf numFmtId="0" fontId="39" fillId="9" borderId="22" xfId="0" applyFont="1" applyFill="1" applyBorder="1" applyAlignment="1">
      <alignment horizontal="center" vertical="center"/>
    </xf>
    <xf numFmtId="0" fontId="39" fillId="9" borderId="2" xfId="0" applyFont="1" applyFill="1" applyBorder="1" applyAlignment="1">
      <alignment horizontal="center" vertical="center"/>
    </xf>
    <xf numFmtId="0" fontId="39" fillId="9" borderId="4" xfId="0" applyFont="1" applyFill="1" applyBorder="1" applyAlignment="1">
      <alignment horizontal="center" vertical="center"/>
    </xf>
    <xf numFmtId="0" fontId="4" fillId="0" borderId="23"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9" fillId="4" borderId="23" xfId="0" applyFont="1" applyFill="1" applyBorder="1" applyAlignment="1">
      <alignment horizontal="center" vertical="center"/>
    </xf>
    <xf numFmtId="0" fontId="31" fillId="4" borderId="16" xfId="0" applyFont="1" applyFill="1" applyBorder="1" applyAlignment="1">
      <alignment horizontal="center" vertical="center"/>
    </xf>
    <xf numFmtId="0" fontId="34" fillId="0" borderId="23" xfId="0" applyFont="1" applyBorder="1" applyAlignment="1" applyProtection="1">
      <alignment horizontal="center" vertical="center"/>
      <protection locked="0"/>
    </xf>
    <xf numFmtId="0" fontId="34" fillId="0" borderId="15" xfId="0" applyFont="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14" fontId="34" fillId="0" borderId="23" xfId="0" applyNumberFormat="1" applyFont="1" applyBorder="1" applyAlignment="1" applyProtection="1">
      <alignment horizontal="center" vertical="center"/>
      <protection locked="0"/>
    </xf>
    <xf numFmtId="0" fontId="0" fillId="13" borderId="28" xfId="0" applyFill="1" applyBorder="1" applyAlignment="1">
      <alignment horizontal="center"/>
    </xf>
    <xf numFmtId="0" fontId="46" fillId="9" borderId="8" xfId="0" applyFont="1" applyFill="1" applyBorder="1" applyAlignment="1">
      <alignment horizontal="center" vertical="center" wrapText="1"/>
    </xf>
    <xf numFmtId="0" fontId="25" fillId="9" borderId="0" xfId="0" applyFont="1" applyFill="1" applyAlignment="1">
      <alignment horizontal="center" vertical="center" wrapText="1"/>
    </xf>
    <xf numFmtId="0" fontId="2" fillId="9" borderId="0" xfId="0" applyFont="1" applyFill="1" applyAlignment="1">
      <alignment horizontal="center" vertical="center" wrapText="1"/>
    </xf>
    <xf numFmtId="0" fontId="8" fillId="4" borderId="16" xfId="0" applyFont="1" applyFill="1" applyBorder="1" applyAlignment="1">
      <alignment horizontal="center" vertical="center"/>
    </xf>
    <xf numFmtId="0" fontId="34" fillId="0" borderId="23" xfId="0" applyFont="1" applyBorder="1" applyAlignment="1" applyProtection="1">
      <alignment horizontal="center" vertical="center" wrapText="1"/>
      <protection locked="0"/>
    </xf>
    <xf numFmtId="0" fontId="34" fillId="0" borderId="15" xfId="0" applyFont="1" applyBorder="1" applyAlignment="1" applyProtection="1">
      <alignment horizontal="center" vertical="center" wrapText="1"/>
      <protection locked="0"/>
    </xf>
    <xf numFmtId="0" fontId="34" fillId="0" borderId="16" xfId="0" applyFont="1" applyBorder="1" applyAlignment="1" applyProtection="1">
      <alignment horizontal="center" vertical="center" wrapText="1"/>
      <protection locked="0"/>
    </xf>
    <xf numFmtId="0" fontId="24" fillId="4" borderId="30" xfId="0" applyFont="1" applyFill="1" applyBorder="1" applyAlignment="1">
      <alignment horizontal="center" vertical="center" wrapText="1"/>
    </xf>
    <xf numFmtId="0" fontId="26" fillId="4" borderId="27" xfId="0" applyFont="1" applyFill="1" applyBorder="1" applyAlignment="1">
      <alignment horizontal="center" vertical="center" wrapText="1"/>
    </xf>
    <xf numFmtId="0" fontId="26" fillId="4" borderId="31" xfId="0" applyFont="1" applyFill="1" applyBorder="1" applyAlignment="1">
      <alignment horizontal="center" vertical="center" wrapText="1"/>
    </xf>
    <xf numFmtId="0" fontId="26" fillId="4" borderId="39" xfId="0" applyFont="1" applyFill="1" applyBorder="1" applyAlignment="1">
      <alignment horizontal="center" vertical="center" wrapText="1"/>
    </xf>
    <xf numFmtId="0" fontId="26" fillId="4" borderId="0" xfId="0" applyFont="1" applyFill="1" applyAlignment="1">
      <alignment horizontal="center" vertical="center" wrapText="1"/>
    </xf>
    <xf numFmtId="0" fontId="26" fillId="4" borderId="3" xfId="0" applyFont="1" applyFill="1" applyBorder="1" applyAlignment="1">
      <alignment horizontal="center" vertical="center" wrapText="1"/>
    </xf>
    <xf numFmtId="0" fontId="26" fillId="4" borderId="29"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37" fillId="9" borderId="0" xfId="0" applyFont="1" applyFill="1" applyAlignment="1">
      <alignment horizontal="right"/>
    </xf>
    <xf numFmtId="0" fontId="0" fillId="9" borderId="0" xfId="0" applyFill="1" applyAlignment="1">
      <alignment horizontal="right"/>
    </xf>
    <xf numFmtId="0" fontId="39" fillId="4" borderId="23"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5" fillId="0" borderId="0" xfId="0" applyFont="1" applyAlignment="1">
      <alignment horizontal="left" vertical="top" wrapText="1"/>
    </xf>
    <xf numFmtId="0" fontId="26" fillId="4" borderId="15"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24" fillId="17" borderId="28" xfId="0" applyFont="1" applyFill="1" applyBorder="1" applyAlignment="1">
      <alignment horizontal="center" vertical="center" wrapText="1"/>
    </xf>
    <xf numFmtId="0" fontId="40" fillId="9" borderId="0" xfId="0" applyFont="1" applyFill="1" applyAlignment="1">
      <alignment horizontal="right"/>
    </xf>
    <xf numFmtId="0" fontId="16" fillId="9" borderId="0" xfId="0" applyFont="1" applyFill="1" applyAlignment="1">
      <alignment horizontal="right"/>
    </xf>
    <xf numFmtId="0" fontId="39" fillId="9" borderId="23" xfId="0" applyFont="1" applyFill="1" applyBorder="1" applyAlignment="1">
      <alignment horizontal="left"/>
    </xf>
    <xf numFmtId="0" fontId="14" fillId="9" borderId="15" xfId="0" applyFont="1" applyFill="1" applyBorder="1" applyAlignment="1">
      <alignment horizontal="left"/>
    </xf>
    <xf numFmtId="0" fontId="14" fillId="9" borderId="16" xfId="0" applyFont="1" applyFill="1" applyBorder="1" applyAlignment="1">
      <alignment horizontal="left"/>
    </xf>
    <xf numFmtId="0" fontId="4" fillId="0" borderId="0" xfId="0" applyFont="1" applyAlignment="1">
      <alignment horizontal="left" vertical="top" wrapText="1"/>
    </xf>
    <xf numFmtId="0" fontId="39" fillId="4" borderId="30"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4" fillId="9" borderId="0" xfId="0" applyFont="1" applyFill="1" applyAlignment="1">
      <alignment horizontal="center" wrapText="1"/>
    </xf>
    <xf numFmtId="0" fontId="0" fillId="13" borderId="15" xfId="0" applyFill="1" applyBorder="1" applyAlignment="1">
      <alignment horizontal="center"/>
    </xf>
    <xf numFmtId="0" fontId="0" fillId="0" borderId="30"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39" xfId="0"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6" xfId="0" applyBorder="1" applyAlignment="1" applyProtection="1">
      <alignment horizontal="center"/>
      <protection locked="0"/>
    </xf>
    <xf numFmtId="0" fontId="39" fillId="9" borderId="23"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37" fillId="10" borderId="46"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0" borderId="4" xfId="0" applyFont="1" applyFill="1" applyBorder="1" applyAlignment="1">
      <alignment horizontal="center" vertical="center" wrapText="1"/>
    </xf>
    <xf numFmtId="0" fontId="4" fillId="9" borderId="0" xfId="0" applyFont="1" applyFill="1" applyAlignment="1">
      <alignment horizontal="left"/>
    </xf>
    <xf numFmtId="0" fontId="46" fillId="21" borderId="17" xfId="0" applyFont="1" applyFill="1" applyBorder="1" applyAlignment="1">
      <alignment horizontal="center" vertical="center"/>
    </xf>
    <xf numFmtId="0" fontId="48" fillId="21" borderId="24" xfId="0" applyFont="1" applyFill="1" applyBorder="1" applyAlignment="1">
      <alignment horizontal="center" vertical="center"/>
    </xf>
    <xf numFmtId="0" fontId="48" fillId="21" borderId="42" xfId="0" applyFont="1" applyFill="1" applyBorder="1" applyAlignment="1">
      <alignment horizontal="center" vertical="center"/>
    </xf>
    <xf numFmtId="0" fontId="37" fillId="4" borderId="47" xfId="0" applyFont="1" applyFill="1" applyBorder="1" applyAlignment="1">
      <alignment horizontal="center" wrapText="1"/>
    </xf>
    <xf numFmtId="0" fontId="0" fillId="4" borderId="3" xfId="0" applyFill="1" applyBorder="1" applyAlignment="1">
      <alignment horizontal="center" wrapText="1"/>
    </xf>
    <xf numFmtId="0" fontId="0" fillId="4" borderId="39" xfId="0" applyFill="1" applyBorder="1" applyAlignment="1">
      <alignment horizontal="center" wrapText="1"/>
    </xf>
    <xf numFmtId="0" fontId="0" fillId="4" borderId="29" xfId="0" applyFill="1" applyBorder="1" applyAlignment="1">
      <alignment horizontal="center" wrapText="1"/>
    </xf>
    <xf numFmtId="0" fontId="0" fillId="4" borderId="26" xfId="0" applyFill="1" applyBorder="1" applyAlignment="1">
      <alignment horizontal="center" wrapText="1"/>
    </xf>
    <xf numFmtId="0" fontId="9" fillId="9" borderId="0" xfId="0" applyFont="1" applyFill="1" applyAlignment="1">
      <alignment horizontal="left"/>
    </xf>
    <xf numFmtId="0" fontId="43" fillId="10" borderId="46" xfId="0" applyFont="1" applyFill="1" applyBorder="1" applyAlignment="1">
      <alignment horizontal="center" vertical="center" wrapText="1"/>
    </xf>
    <xf numFmtId="0" fontId="20" fillId="10" borderId="2" xfId="0" applyFont="1" applyFill="1" applyBorder="1" applyAlignment="1">
      <alignment horizontal="center" vertical="center" wrapText="1"/>
    </xf>
    <xf numFmtId="0" fontId="20" fillId="10" borderId="4" xfId="0" applyFont="1" applyFill="1" applyBorder="1" applyAlignment="1">
      <alignment horizontal="center" vertical="center" wrapText="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0" fillId="0" borderId="0" xfId="0" applyAlignment="1">
      <alignment horizontal="center"/>
    </xf>
    <xf numFmtId="0" fontId="39" fillId="9" borderId="17" xfId="0" applyFont="1" applyFill="1" applyBorder="1" applyAlignment="1">
      <alignment horizontal="center" vertical="center"/>
    </xf>
    <xf numFmtId="0" fontId="8" fillId="9" borderId="24" xfId="0" applyFont="1" applyFill="1" applyBorder="1" applyAlignment="1">
      <alignment horizontal="center" vertical="center"/>
    </xf>
    <xf numFmtId="0" fontId="8" fillId="9" borderId="33" xfId="0" applyFont="1" applyFill="1" applyBorder="1" applyAlignment="1">
      <alignment horizontal="center" vertical="center"/>
    </xf>
    <xf numFmtId="0" fontId="0" fillId="9" borderId="0" xfId="0" applyFill="1" applyAlignment="1">
      <alignment horizontal="center"/>
    </xf>
    <xf numFmtId="0" fontId="10" fillId="9" borderId="43" xfId="0" applyFont="1" applyFill="1" applyBorder="1" applyAlignment="1">
      <alignment horizontal="center"/>
    </xf>
    <xf numFmtId="0" fontId="39" fillId="4" borderId="1" xfId="0" applyFont="1" applyFill="1" applyBorder="1" applyAlignment="1">
      <alignment horizontal="left"/>
    </xf>
    <xf numFmtId="0" fontId="4" fillId="4" borderId="1" xfId="0" applyFont="1" applyFill="1" applyBorder="1" applyAlignment="1">
      <alignment horizontal="left"/>
    </xf>
    <xf numFmtId="0" fontId="9" fillId="13" borderId="1" xfId="0" applyFont="1" applyFill="1" applyBorder="1" applyAlignment="1">
      <alignment horizontal="center"/>
    </xf>
    <xf numFmtId="0" fontId="39" fillId="9" borderId="17" xfId="0" applyFont="1" applyFill="1" applyBorder="1" applyAlignment="1">
      <alignment horizontal="center" vertical="center" wrapText="1"/>
    </xf>
    <xf numFmtId="0" fontId="8" fillId="9" borderId="24"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24" fillId="4" borderId="22"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14" fillId="9" borderId="30" xfId="0" applyFont="1" applyFill="1" applyBorder="1" applyAlignment="1">
      <alignment horizontal="center" vertical="center" wrapText="1"/>
    </xf>
    <xf numFmtId="0" fontId="14" fillId="9" borderId="27" xfId="0" applyFont="1" applyFill="1" applyBorder="1" applyAlignment="1">
      <alignment horizontal="center" vertical="center" wrapText="1"/>
    </xf>
    <xf numFmtId="0" fontId="14" fillId="9" borderId="29"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0" fillId="14" borderId="0" xfId="0" applyFill="1" applyAlignment="1">
      <alignment horizontal="center" wrapText="1"/>
    </xf>
    <xf numFmtId="0" fontId="21" fillId="9" borderId="0" xfId="0" applyFont="1" applyFill="1" applyAlignment="1">
      <alignment horizontal="center" wrapText="1"/>
    </xf>
    <xf numFmtId="0" fontId="39" fillId="4" borderId="22" xfId="0" applyFont="1" applyFill="1" applyBorder="1" applyAlignment="1">
      <alignment horizontal="center" vertical="center" wrapText="1"/>
    </xf>
    <xf numFmtId="0" fontId="26" fillId="4" borderId="4" xfId="0" applyFont="1" applyFill="1" applyBorder="1" applyAlignment="1">
      <alignment horizontal="center" vertical="center" wrapText="1"/>
    </xf>
    <xf numFmtId="0" fontId="39" fillId="4" borderId="23" xfId="0" applyFont="1" applyFill="1" applyBorder="1" applyAlignment="1">
      <alignment horizontal="center" wrapText="1"/>
    </xf>
    <xf numFmtId="0" fontId="21" fillId="4" borderId="15" xfId="0" applyFont="1" applyFill="1" applyBorder="1" applyAlignment="1">
      <alignment horizontal="center" wrapText="1"/>
    </xf>
    <xf numFmtId="0" fontId="21" fillId="4" borderId="16" xfId="0" applyFont="1" applyFill="1" applyBorder="1" applyAlignment="1">
      <alignment horizontal="center" wrapText="1"/>
    </xf>
    <xf numFmtId="0" fontId="0" fillId="9" borderId="23" xfId="0" applyFill="1" applyBorder="1" applyAlignment="1">
      <alignment horizontal="center" vertical="center" wrapText="1"/>
    </xf>
    <xf numFmtId="0" fontId="0" fillId="9" borderId="16" xfId="0"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0" fillId="0" borderId="1" xfId="0" applyBorder="1" applyAlignment="1" applyProtection="1">
      <alignment horizontal="center" vertical="center"/>
      <protection locked="0"/>
    </xf>
    <xf numFmtId="0" fontId="14" fillId="9" borderId="15" xfId="0" applyFont="1" applyFill="1" applyBorder="1" applyAlignment="1">
      <alignment horizontal="center" vertical="center" wrapText="1"/>
    </xf>
    <xf numFmtId="0" fontId="39" fillId="4" borderId="23" xfId="0" applyFont="1" applyFill="1" applyBorder="1" applyAlignment="1">
      <alignment horizontal="center"/>
    </xf>
    <xf numFmtId="0" fontId="23" fillId="4" borderId="16" xfId="0" applyFont="1" applyFill="1" applyBorder="1" applyAlignment="1">
      <alignment horizontal="center"/>
    </xf>
    <xf numFmtId="0" fontId="39" fillId="15" borderId="1" xfId="0" applyFont="1" applyFill="1" applyBorder="1" applyAlignment="1">
      <alignment horizontal="center"/>
    </xf>
    <xf numFmtId="0" fontId="21" fillId="15" borderId="1" xfId="0" applyFont="1" applyFill="1" applyBorder="1" applyAlignment="1">
      <alignment horizontal="center"/>
    </xf>
    <xf numFmtId="0" fontId="0" fillId="4" borderId="22" xfId="0" applyFill="1" applyBorder="1" applyAlignment="1">
      <alignment horizontal="center" vertical="center" wrapText="1"/>
    </xf>
    <xf numFmtId="0" fontId="0" fillId="9" borderId="0" xfId="0" applyFill="1" applyAlignment="1">
      <alignment horizontal="center" vertical="center" wrapText="1"/>
    </xf>
    <xf numFmtId="0" fontId="39" fillId="4" borderId="30" xfId="0" applyFont="1" applyFill="1" applyBorder="1" applyAlignment="1">
      <alignment horizontal="center" vertical="center"/>
    </xf>
    <xf numFmtId="0" fontId="14" fillId="4" borderId="39" xfId="0" applyFont="1" applyFill="1" applyBorder="1" applyAlignment="1">
      <alignment horizontal="center" vertical="center"/>
    </xf>
    <xf numFmtId="0" fontId="39" fillId="8" borderId="29" xfId="0" applyFont="1" applyFill="1" applyBorder="1" applyAlignment="1">
      <alignment horizontal="center" wrapText="1"/>
    </xf>
    <xf numFmtId="0" fontId="14" fillId="8" borderId="28" xfId="0" applyFont="1" applyFill="1" applyBorder="1" applyAlignment="1">
      <alignment horizontal="center" wrapText="1"/>
    </xf>
    <xf numFmtId="0" fontId="14" fillId="8" borderId="26" xfId="0" applyFont="1" applyFill="1" applyBorder="1" applyAlignment="1">
      <alignment horizontal="center" wrapText="1"/>
    </xf>
    <xf numFmtId="0" fontId="30" fillId="10" borderId="23" xfId="0" applyFont="1" applyFill="1" applyBorder="1" applyAlignment="1">
      <alignment horizontal="center" vertical="center" wrapText="1"/>
    </xf>
    <xf numFmtId="0" fontId="30" fillId="10" borderId="15" xfId="0" applyFont="1" applyFill="1" applyBorder="1" applyAlignment="1">
      <alignment horizontal="center" vertical="center" wrapText="1"/>
    </xf>
    <xf numFmtId="0" fontId="30" fillId="10" borderId="16" xfId="0" applyFont="1" applyFill="1" applyBorder="1" applyAlignment="1">
      <alignment horizontal="center" vertical="center" wrapText="1"/>
    </xf>
    <xf numFmtId="0" fontId="38" fillId="5" borderId="22" xfId="6" applyFont="1" applyFill="1" applyBorder="1" applyAlignment="1" applyProtection="1">
      <alignment horizontal="center" vertical="center" wrapText="1"/>
    </xf>
    <xf numFmtId="0" fontId="33" fillId="5" borderId="2" xfId="6" applyFont="1" applyFill="1" applyBorder="1" applyAlignment="1" applyProtection="1">
      <alignment horizontal="center" vertical="center" wrapText="1"/>
    </xf>
    <xf numFmtId="0" fontId="33" fillId="5" borderId="4" xfId="6" applyFont="1" applyFill="1" applyBorder="1" applyAlignment="1" applyProtection="1">
      <alignment horizontal="center" vertical="center" wrapText="1"/>
    </xf>
    <xf numFmtId="0" fontId="21" fillId="9" borderId="0" xfId="0" applyFont="1" applyFill="1" applyAlignment="1">
      <alignment horizontal="center"/>
    </xf>
    <xf numFmtId="0" fontId="39" fillId="13" borderId="1" xfId="0" applyFont="1" applyFill="1" applyBorder="1" applyAlignment="1">
      <alignment horizontal="left"/>
    </xf>
    <xf numFmtId="0" fontId="4" fillId="13" borderId="1" xfId="0" applyFont="1" applyFill="1" applyBorder="1" applyAlignment="1">
      <alignment horizontal="left"/>
    </xf>
    <xf numFmtId="0" fontId="42" fillId="4" borderId="23"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29" fillId="4" borderId="16" xfId="0" applyFont="1" applyFill="1" applyBorder="1" applyAlignment="1">
      <alignment horizontal="left" vertic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29">
    <dxf>
      <font>
        <color auto="1"/>
      </font>
      <fill>
        <patternFill>
          <bgColor rgb="FFFFFF00"/>
        </patternFill>
      </fill>
    </dxf>
    <dxf>
      <fill>
        <patternFill>
          <bgColor rgb="FFFFFF00"/>
        </patternFill>
      </fill>
    </dxf>
    <dxf>
      <font>
        <b/>
        <i val="0"/>
        <color rgb="FFFF0000"/>
      </font>
    </dxf>
    <dxf>
      <font>
        <b/>
        <i val="0"/>
        <color rgb="FF92D050"/>
      </font>
    </dxf>
    <dxf>
      <font>
        <color rgb="FF00B050"/>
      </font>
      <fill>
        <patternFill>
          <bgColor theme="0" tint="-0.14993743705557422"/>
        </patternFill>
      </fill>
    </dxf>
    <dxf>
      <font>
        <color rgb="FF9C0006"/>
      </font>
      <fill>
        <patternFill>
          <bgColor rgb="FFFFC7CE"/>
        </patternFill>
      </fill>
    </dxf>
    <dxf>
      <font>
        <color rgb="FF00B050"/>
      </font>
      <fill>
        <patternFill>
          <bgColor theme="0" tint="-0.14993743705557422"/>
        </patternFill>
      </fill>
    </dxf>
    <dxf>
      <font>
        <b/>
        <i val="0"/>
        <color rgb="FF00B050"/>
      </font>
      <fill>
        <patternFill>
          <bgColor theme="0" tint="-0.14993743705557422"/>
        </patternFill>
      </fill>
    </dxf>
    <dxf>
      <font>
        <color rgb="FF00B050"/>
      </font>
      <fill>
        <patternFill>
          <bgColor theme="0" tint="-0.14993743705557422"/>
        </patternFill>
      </fill>
    </dxf>
    <dxf>
      <font>
        <b/>
        <i val="0"/>
        <color rgb="FF92D050"/>
      </font>
    </dxf>
    <dxf>
      <font>
        <b/>
        <i val="0"/>
        <color rgb="FFFF0000"/>
      </font>
    </dxf>
    <dxf>
      <font>
        <b/>
        <i val="0"/>
        <color rgb="FFFF0000"/>
      </font>
    </dxf>
    <dxf>
      <font>
        <b/>
        <i val="0"/>
        <color rgb="FF00B050"/>
      </font>
    </dxf>
    <dxf>
      <font>
        <color auto="1"/>
      </font>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rgb="FF92D050"/>
        </patternFill>
      </fill>
    </dxf>
    <dxf>
      <font>
        <color rgb="FFDFD299"/>
      </font>
    </dxf>
    <dxf>
      <font>
        <color rgb="FFFF0000"/>
      </font>
    </dxf>
    <dxf>
      <font>
        <b/>
        <i val="0"/>
        <color rgb="FF92D050"/>
      </font>
    </dxf>
    <dxf>
      <font>
        <b/>
        <i val="0"/>
        <color rgb="FFFF0000"/>
      </font>
    </dxf>
    <dxf>
      <fill>
        <patternFill>
          <bgColor theme="0" tint="-0.24991607409894101"/>
        </patternFill>
      </fill>
    </dxf>
    <dxf>
      <fill>
        <patternFill>
          <bgColor theme="0" tint="-0.34995574816125979"/>
        </patternFill>
      </fill>
    </dxf>
    <dxf>
      <fill>
        <patternFill>
          <bgColor theme="0" tint="-0.24991607409894101"/>
        </patternFill>
      </fill>
    </dxf>
    <dxf>
      <fill>
        <patternFill>
          <bgColor theme="0" tint="-0.349955748161259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hyperlink" Target="https://assets.publishing.service.gov.uk/government/uploads/system/uploads/attachment_data/file/221044/pb13898-epr-guidance-part-a-130222.pdf"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44450</xdr:colOff>
      <xdr:row>1</xdr:row>
      <xdr:rowOff>741362</xdr:rowOff>
    </xdr:from>
    <xdr:to>
      <xdr:col>4</xdr:col>
      <xdr:colOff>84137</xdr:colOff>
      <xdr:row>1</xdr:row>
      <xdr:rowOff>2625725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647950" y="933450"/>
          <a:ext cx="10925175" cy="1885950"/>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000000"/>
              </a:solidFill>
              <a:latin typeface="Calibri"/>
              <a:ea typeface="Calibri"/>
              <a:cs typeface="Calibri"/>
            </a:rPr>
            <a:t>Bydd yr offeryn taliadau hwn yn cyfrifo'r swm y bydd angen i chi ei dalu am eich cais am amrywiad. 
Mae'n gofyn cwestiynau am y gweithgareddau ar eich gosodiad ac agweddau ar y newidiadau i'ch gweithrediadau a allai wneud y broses benderfynu yn hwy. Defnyddir yr atebion i'r cwestiynau hynny i osod y cais mewn un o bedwar band taliadau.  
Yna ychwanegir taliadau ychwanegol am newidiadau sy'n effeithio ar "weithgareddau eraill". Mae’r rhain yn weithgareddau a fyddai angen trwydded pe na baent yn rhan o'r gosodiad. Rydym yn codi swm i dalu am y gwaith asesu ychwanegol ar gyfer y gweithgareddau hyn. 
Mae'r gydran olaf ar gyfer "Asesiadau Ychwanegol". Dyma'r asesiadau arbenigol y gall fod angen i chi eu cyflwyno fel rhan o'ch cais pan fydd yr asesiad risg sgrinio sylfaenol yn nodi bod angen asesiad risg llawn wedi'i fodelu. </a:t>
          </a:r>
        </a:p>
      </xdr:txBody>
    </xdr:sp>
    <xdr:clientData/>
  </xdr:twoCellAnchor>
  <xdr:twoCellAnchor>
    <xdr:from>
      <xdr:col>2</xdr:col>
      <xdr:colOff>49212</xdr:colOff>
      <xdr:row>1</xdr:row>
      <xdr:rowOff>2805114</xdr:rowOff>
    </xdr:from>
    <xdr:to>
      <xdr:col>4</xdr:col>
      <xdr:colOff>90487</xdr:colOff>
      <xdr:row>4</xdr:row>
      <xdr:rowOff>715963</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647950" y="3000375"/>
          <a:ext cx="10925175" cy="1990725"/>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000000"/>
              </a:solidFill>
              <a:latin typeface="Calibri"/>
              <a:ea typeface="Calibri"/>
              <a:cs typeface="Calibri"/>
            </a:rPr>
            <a:t>Mae tair tudalen i'w llenwi. Defnyddiwch y fysell tab i symud i'r gell nesaf sydd angen ei chwblhau ar bob tudalen
1 Amrywiad Gweithgaredd Rhestredig – Dyma lle rydych chi'n dweud wrthym am y gweithgareddau rhestredig Rhan A(1) sy'n cael eu heffeithio gan y newidiadau sy'n arwain at y cais amrywio hwn. Nid oes angen i chi restru unrhyw weithgareddau nad yw'r newidiadau yn effeithio arnynt. 
2 Amrywiad Gweithgareddau Eraill – Dyma ble byddwch yn dweud wrthym pa weithgareddau Rhan A(2), Rhan B, Cyfarpar Hylosgi Canolig, Generadur Penodol neu Wastraff sy'n cael eu heffeithio gan y newidiadau sy'n arwain at y cais am amrywiad. 
3 Amrywiad – Mae'r wybodaeth o daflenni 1 a 2 yn cael ei throsglwyddo'n awtomatig i'r daflen hon. Yna mae angen i chi ateb y cwestiynau am agweddau a allai wneud y penderfyniad yn fwy cymhleth a nodi'r asesiadau ychwanegol yr ydych yn eu darparu. Dangosir y taliad ar ddiwedd y daflen hon.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995539</xdr:colOff>
      <xdr:row>2</xdr:row>
      <xdr:rowOff>172861</xdr:rowOff>
    </xdr:from>
    <xdr:to>
      <xdr:col>13</xdr:col>
      <xdr:colOff>706</xdr:colOff>
      <xdr:row>7</xdr:row>
      <xdr:rowOff>111125</xdr:rowOff>
    </xdr:to>
    <xdr:pic>
      <xdr:nvPicPr>
        <xdr:cNvPr id="3" name="Picture 3" descr="Natural Resources Wales log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010650" y="552450"/>
          <a:ext cx="1304925" cy="895350"/>
        </a:xfrm>
        <a:prstGeom prst="rect">
          <a:avLst/>
        </a:prstGeom>
        <a:noFill/>
        <a:ln w="19050">
          <a:solidFill>
            <a:srgbClr val="000000"/>
          </a:solidFill>
          <a:miter lim="800000"/>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828675</xdr:colOff>
      <xdr:row>14</xdr:row>
      <xdr:rowOff>428626</xdr:rowOff>
    </xdr:from>
    <xdr:to>
      <xdr:col>10</xdr:col>
      <xdr:colOff>2409825</xdr:colOff>
      <xdr:row>17</xdr:row>
      <xdr:rowOff>180976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10791825" y="5153025"/>
          <a:ext cx="1581150" cy="1066800"/>
        </a:xfrm>
        <a:prstGeom prst="rect">
          <a:avLst/>
        </a:prstGeom>
        <a:solidFill>
          <a:schemeClr val="accent6"/>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000000"/>
              </a:solidFill>
              <a:latin typeface="Calibri"/>
              <a:ea typeface="Calibri"/>
              <a:cs typeface="Calibri"/>
            </a:rPr>
            <a:t>Dolen i’r canllawiau ar Weithgareddau sy’n Uniongyrchol Gysylltiedig yng nghanllawiau Rheoliadau Trwyddedu Amgylcheddol DEFRA ar Osodiadau Rhan A </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488949</xdr:colOff>
      <xdr:row>55</xdr:row>
      <xdr:rowOff>114300</xdr:rowOff>
    </xdr:from>
    <xdr:to>
      <xdr:col>15</xdr:col>
      <xdr:colOff>514350</xdr:colOff>
      <xdr:row>62</xdr:row>
      <xdr:rowOff>0</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2052299" y="18973800"/>
          <a:ext cx="1549401" cy="2647950"/>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000000"/>
              </a:solidFill>
              <a:latin typeface="Calibri"/>
              <a:ea typeface="Calibri"/>
              <a:cs typeface="Calibri"/>
            </a:rPr>
            <a:t>Noder:  
Mae gweithgareddau cyfarpar hylosgi canolig a generaduron penodedig i gyd yn dod o fewn un taliad. Mae'r swm uwch yn berthnasol pan fo gweithgaredd hefyd yn weithgaredd Rhan B. 
Mae’r taliadau ar gyfer gweithgareddau Rhan A(2), Rhan B a gwastraff wedi’u capio ar 3.</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161925</xdr:colOff>
      <xdr:row>102</xdr:row>
      <xdr:rowOff>76200</xdr:rowOff>
    </xdr:from>
    <xdr:to>
      <xdr:col>22</xdr:col>
      <xdr:colOff>55524</xdr:colOff>
      <xdr:row>118</xdr:row>
      <xdr:rowOff>101601</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rcRect l="30310" t="19660" b="38270"/>
        <a:stretch>
          <a:fillRect/>
        </a:stretch>
      </xdr:blipFill>
      <xdr:spPr>
        <a:xfrm>
          <a:off x="8791575" y="19783425"/>
          <a:ext cx="9067800" cy="3057525"/>
        </a:xfrm>
        <a:prstGeom prst="rect">
          <a:avLst/>
        </a:prstGeom>
      </xdr:spPr>
    </xdr:pic>
    <xdr:clientData/>
  </xdr:twoCellAnchor>
  <xdr:twoCellAnchor>
    <xdr:from>
      <xdr:col>12</xdr:col>
      <xdr:colOff>114300</xdr:colOff>
      <xdr:row>121</xdr:row>
      <xdr:rowOff>57150</xdr:rowOff>
    </xdr:from>
    <xdr:to>
      <xdr:col>21</xdr:col>
      <xdr:colOff>190500</xdr:colOff>
      <xdr:row>133</xdr:row>
      <xdr:rowOff>76200</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9353550" y="23336250"/>
          <a:ext cx="7200900" cy="2209800"/>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000000"/>
              </a:solidFill>
              <a:latin typeface="Calibri"/>
              <a:ea typeface="Calibri"/>
              <a:cs typeface="Calibri"/>
            </a:rPr>
            <a:t>Ond – gweler hefyd baragraff 5
NID yw gweithgaredd sy’n dod o fewn is-baragraff 4 (rhestr uchod) yn weithgaredd rheoli gwastraff penoedig os:
a) y’i cynhelir yn yr un gosodiad â gweithgaredd Rhan A(1) nas crybwyllir yn is-baragraff 4; A
b) nid dyma'r prif ddiben ar gyfer gweithredu'r gosodiad
Felly, dim ond os dyma’r prif weithgaredd ar y gosodiad y mae Rheolaeth Dechnegol Gymhwysol yn berthnasol i'r gweithgareddau hynny.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aturalresources.wales/media/1220/rgn-8-substantial-changes-involving-solvents-and-combustion.pdf" TargetMode="External"/><Relationship Id="rId2" Type="http://schemas.openxmlformats.org/officeDocument/2006/relationships/hyperlink" Target="https://naturalresources.wales/media/695428/regulatory-guidance-note-5-operator-competence.pdf" TargetMode="External"/><Relationship Id="rId1" Type="http://schemas.openxmlformats.org/officeDocument/2006/relationships/hyperlink" Target="https://www.legislation.gov.uk/uksi/2018/1227/part/3/ma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935917/environmental-permitting-core-guidance.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naturalresources.wales/media/1220/rgn-8-substantial-changes-involving-solvents-and-combustion.pdf"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legislation.gov.uk/uksi/2018/1227/made" TargetMode="External"/><Relationship Id="rId1" Type="http://schemas.openxmlformats.org/officeDocument/2006/relationships/hyperlink" Target="https://eippcb.jrc.ec.europa.eu/referenc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5206F-ADEB-482D-9E39-E365D07280B7}">
  <dimension ref="A1:AA199"/>
  <sheetViews>
    <sheetView workbookViewId="0">
      <selection activeCell="B2" sqref="B2"/>
    </sheetView>
  </sheetViews>
  <sheetFormatPr defaultRowHeight="15" x14ac:dyDescent="0.25"/>
  <cols>
    <col min="1" max="1" width="9.140625" customWidth="1"/>
    <col min="2" max="2" width="29.85546875" customWidth="1"/>
    <col min="3" max="3" width="13.140625" customWidth="1"/>
    <col min="4" max="4" width="150.140625" customWidth="1"/>
    <col min="5" max="27" width="9.140625" customWidth="1"/>
  </cols>
  <sheetData>
    <row r="1" spans="1:27" ht="15.75" thickBot="1" x14ac:dyDescent="0.3">
      <c r="A1" s="20"/>
      <c r="B1" s="289" t="s">
        <v>452</v>
      </c>
      <c r="C1" s="290" t="str">
        <f>Amrwymiadau!D2</f>
        <v>SRoC CNC f2 2024-25</v>
      </c>
      <c r="D1" s="257"/>
      <c r="E1" s="258"/>
      <c r="F1" s="20"/>
      <c r="G1" s="20"/>
      <c r="H1" s="20"/>
      <c r="I1" s="20"/>
      <c r="J1" s="20"/>
      <c r="K1" s="20"/>
      <c r="L1" s="20"/>
      <c r="M1" s="20"/>
      <c r="N1" s="20"/>
      <c r="O1" s="20"/>
      <c r="P1" s="20"/>
      <c r="Q1" s="20"/>
      <c r="R1" s="20"/>
      <c r="S1" s="20"/>
      <c r="T1" s="20"/>
      <c r="U1" s="20"/>
      <c r="V1" s="20"/>
      <c r="W1" s="20"/>
      <c r="X1" s="20"/>
      <c r="Y1" s="20"/>
      <c r="Z1" s="20"/>
      <c r="AA1" s="20"/>
    </row>
    <row r="2" spans="1:27" ht="261.75" customHeight="1" x14ac:dyDescent="0.25">
      <c r="A2" s="20"/>
      <c r="B2" s="20"/>
      <c r="C2" s="20"/>
      <c r="D2" s="230"/>
      <c r="E2" s="20"/>
      <c r="F2" s="20"/>
      <c r="G2" s="20"/>
      <c r="H2" s="20"/>
      <c r="I2" s="20"/>
      <c r="J2" s="20"/>
      <c r="K2" s="20"/>
      <c r="L2" s="20"/>
      <c r="M2" s="20"/>
      <c r="N2" s="20"/>
      <c r="O2" s="20"/>
      <c r="P2" s="20"/>
      <c r="Q2" s="20"/>
      <c r="R2" s="20"/>
      <c r="S2" s="20"/>
      <c r="T2" s="20"/>
      <c r="U2" s="20"/>
      <c r="V2" s="20"/>
      <c r="W2" s="20"/>
      <c r="X2" s="20"/>
      <c r="Y2" s="20"/>
      <c r="Z2" s="20"/>
      <c r="AA2" s="20"/>
    </row>
    <row r="3" spans="1:27" ht="33.75" customHeight="1" x14ac:dyDescent="0.25">
      <c r="A3" s="20"/>
      <c r="B3" s="20"/>
      <c r="C3" s="20"/>
      <c r="D3" s="230"/>
      <c r="E3" s="20"/>
      <c r="F3" s="20"/>
      <c r="G3" s="20"/>
      <c r="H3" s="20"/>
      <c r="I3" s="20"/>
      <c r="J3" s="20"/>
      <c r="K3" s="20"/>
      <c r="L3" s="20"/>
      <c r="M3" s="20"/>
      <c r="N3" s="20"/>
      <c r="O3" s="20"/>
      <c r="P3" s="20"/>
      <c r="Q3" s="20"/>
      <c r="R3" s="20"/>
      <c r="S3" s="20"/>
      <c r="T3" s="20"/>
      <c r="U3" s="20"/>
      <c r="V3" s="20"/>
      <c r="W3" s="20"/>
      <c r="X3" s="20"/>
      <c r="Y3" s="20"/>
      <c r="Z3" s="20"/>
      <c r="AA3" s="20"/>
    </row>
    <row r="4" spans="1:27" ht="26.25" customHeight="1" x14ac:dyDescent="0.25">
      <c r="A4" s="20"/>
      <c r="B4" s="20"/>
      <c r="C4" s="20"/>
      <c r="D4" s="230"/>
      <c r="E4" s="20"/>
      <c r="F4" s="20"/>
      <c r="G4" s="20"/>
      <c r="H4" s="20"/>
      <c r="I4" s="20"/>
      <c r="J4" s="20"/>
      <c r="K4" s="20"/>
      <c r="L4" s="20"/>
      <c r="M4" s="20"/>
      <c r="N4" s="20"/>
      <c r="O4" s="20"/>
      <c r="P4" s="20"/>
      <c r="Q4" s="20"/>
      <c r="R4" s="20"/>
      <c r="S4" s="20"/>
      <c r="T4" s="20"/>
      <c r="U4" s="20"/>
      <c r="V4" s="20"/>
      <c r="W4" s="20"/>
      <c r="X4" s="20"/>
      <c r="Y4" s="20"/>
      <c r="Z4" s="20"/>
      <c r="AA4" s="20"/>
    </row>
    <row r="5" spans="1:27" ht="113.25" customHeight="1" x14ac:dyDescent="0.25">
      <c r="A5" s="20"/>
      <c r="B5" s="20"/>
      <c r="C5" s="20"/>
      <c r="D5" s="20"/>
      <c r="E5" s="20"/>
      <c r="F5" s="20"/>
      <c r="G5" s="20"/>
      <c r="H5" s="20"/>
      <c r="I5" s="20"/>
      <c r="J5" s="20"/>
      <c r="K5" s="20"/>
      <c r="L5" s="20"/>
      <c r="M5" s="20"/>
      <c r="N5" s="20"/>
      <c r="O5" s="20"/>
      <c r="P5" s="20"/>
      <c r="Q5" s="20"/>
      <c r="R5" s="20"/>
      <c r="S5" s="20"/>
      <c r="T5" s="20"/>
      <c r="U5" s="20"/>
      <c r="V5" s="20"/>
      <c r="W5" s="20"/>
      <c r="X5" s="20"/>
      <c r="Y5" s="20"/>
      <c r="Z5" s="20"/>
      <c r="AA5" s="20"/>
    </row>
    <row r="6" spans="1:27" ht="27" customHeight="1" x14ac:dyDescent="0.25">
      <c r="A6" s="20"/>
      <c r="B6" s="316" t="s">
        <v>428</v>
      </c>
      <c r="C6" s="316" t="s">
        <v>429</v>
      </c>
      <c r="D6" s="316" t="s">
        <v>453</v>
      </c>
      <c r="E6" s="225"/>
      <c r="F6" s="225"/>
      <c r="G6" s="225"/>
      <c r="H6" s="225"/>
      <c r="I6" s="225"/>
      <c r="J6" s="225"/>
      <c r="K6" s="20"/>
      <c r="L6" s="20"/>
      <c r="M6" s="20"/>
      <c r="N6" s="20"/>
      <c r="O6" s="20"/>
      <c r="P6" s="20"/>
      <c r="Q6" s="20"/>
      <c r="R6" s="20"/>
      <c r="S6" s="20"/>
      <c r="T6" s="20"/>
      <c r="U6" s="20"/>
      <c r="V6" s="20"/>
      <c r="W6" s="20"/>
      <c r="X6" s="20"/>
      <c r="Y6" s="20"/>
      <c r="Z6" s="20"/>
      <c r="AA6" s="20"/>
    </row>
    <row r="7" spans="1:27" ht="161.1" customHeight="1" x14ac:dyDescent="0.25">
      <c r="A7" s="20"/>
      <c r="B7" s="392" t="s">
        <v>454</v>
      </c>
      <c r="C7" s="261"/>
      <c r="D7" s="317" t="s">
        <v>427</v>
      </c>
      <c r="E7" s="262"/>
      <c r="F7" s="262"/>
      <c r="G7" s="262"/>
      <c r="H7" s="262"/>
      <c r="I7" s="262"/>
      <c r="J7" s="262"/>
      <c r="K7" s="20"/>
      <c r="L7" s="20"/>
      <c r="M7" s="20"/>
      <c r="N7" s="20"/>
      <c r="O7" s="20"/>
      <c r="P7" s="20"/>
      <c r="Q7" s="20"/>
      <c r="R7" s="20"/>
      <c r="S7" s="20"/>
      <c r="T7" s="20"/>
      <c r="U7" s="20"/>
      <c r="V7" s="20"/>
      <c r="W7" s="20"/>
      <c r="X7" s="20"/>
      <c r="Y7" s="20"/>
      <c r="Z7" s="20"/>
      <c r="AA7" s="20"/>
    </row>
    <row r="8" spans="1:27" ht="24.95" customHeight="1" x14ac:dyDescent="0.25">
      <c r="A8" s="20"/>
      <c r="B8" s="20"/>
      <c r="C8" s="20"/>
      <c r="D8" s="20"/>
      <c r="E8" s="20"/>
      <c r="F8" s="20"/>
      <c r="G8" s="20"/>
      <c r="H8" s="20"/>
      <c r="I8" s="20"/>
      <c r="J8" s="20"/>
      <c r="K8" s="20"/>
      <c r="L8" s="20"/>
      <c r="M8" s="20"/>
      <c r="N8" s="20"/>
      <c r="O8" s="20"/>
      <c r="P8" s="20"/>
      <c r="Q8" s="20"/>
      <c r="R8" s="20"/>
      <c r="S8" s="20"/>
      <c r="T8" s="20"/>
      <c r="U8" s="20"/>
      <c r="V8" s="20"/>
      <c r="W8" s="20"/>
      <c r="X8" s="20"/>
      <c r="Y8" s="20"/>
      <c r="Z8" s="20"/>
      <c r="AA8" s="20"/>
    </row>
    <row r="9" spans="1:27" ht="30.75" customHeight="1" x14ac:dyDescent="0.25">
      <c r="A9" s="20"/>
      <c r="B9" s="401" t="s">
        <v>398</v>
      </c>
      <c r="C9" s="318" t="s">
        <v>456</v>
      </c>
      <c r="D9" s="292" t="s">
        <v>402</v>
      </c>
      <c r="E9" s="20"/>
      <c r="F9" s="20"/>
      <c r="G9" s="20"/>
      <c r="H9" s="20"/>
      <c r="I9" s="20"/>
      <c r="J9" s="20"/>
      <c r="K9" s="20"/>
      <c r="L9" s="20"/>
      <c r="M9" s="20"/>
      <c r="N9" s="20"/>
      <c r="O9" s="20"/>
      <c r="P9" s="20"/>
      <c r="Q9" s="20"/>
      <c r="R9" s="20"/>
      <c r="S9" s="20"/>
      <c r="T9" s="20"/>
      <c r="U9" s="20"/>
      <c r="V9" s="20"/>
      <c r="W9" s="20"/>
      <c r="X9" s="20"/>
      <c r="Y9" s="20"/>
      <c r="Z9" s="20"/>
      <c r="AA9" s="20"/>
    </row>
    <row r="10" spans="1:27" ht="66" customHeight="1" x14ac:dyDescent="0.25">
      <c r="A10" s="20"/>
      <c r="B10" s="402"/>
      <c r="C10" s="319" t="s">
        <v>457</v>
      </c>
      <c r="D10" s="294" t="s">
        <v>403</v>
      </c>
      <c r="E10" s="20"/>
      <c r="F10" s="20"/>
      <c r="G10" s="20"/>
      <c r="H10" s="20"/>
      <c r="I10" s="20"/>
      <c r="J10" s="20"/>
      <c r="K10" s="20"/>
      <c r="L10" s="20"/>
      <c r="M10" s="20"/>
      <c r="N10" s="20"/>
      <c r="O10" s="20"/>
      <c r="P10" s="20"/>
      <c r="Q10" s="20"/>
      <c r="R10" s="20"/>
      <c r="S10" s="20"/>
      <c r="T10" s="20"/>
      <c r="U10" s="20"/>
      <c r="V10" s="20"/>
      <c r="W10" s="20"/>
      <c r="X10" s="20"/>
      <c r="Y10" s="20"/>
      <c r="Z10" s="20"/>
      <c r="AA10" s="20"/>
    </row>
    <row r="11" spans="1:27" ht="24" customHeight="1" x14ac:dyDescent="0.25">
      <c r="A11" s="20"/>
      <c r="B11" s="402"/>
      <c r="C11" s="320" t="s">
        <v>459</v>
      </c>
      <c r="D11" s="294" t="s">
        <v>396</v>
      </c>
      <c r="E11" s="20"/>
      <c r="F11" s="20"/>
      <c r="G11" s="20"/>
      <c r="H11" s="20"/>
      <c r="I11" s="20"/>
      <c r="J11" s="20"/>
      <c r="K11" s="20"/>
      <c r="L11" s="20"/>
      <c r="M11" s="20"/>
      <c r="N11" s="20"/>
      <c r="O11" s="20"/>
      <c r="P11" s="20"/>
      <c r="Q11" s="20"/>
      <c r="R11" s="20"/>
      <c r="S11" s="20"/>
      <c r="T11" s="20"/>
      <c r="U11" s="20"/>
      <c r="V11" s="20"/>
      <c r="W11" s="20"/>
      <c r="X11" s="20"/>
      <c r="Y11" s="20"/>
      <c r="Z11" s="20"/>
      <c r="AA11" s="20"/>
    </row>
    <row r="12" spans="1:27" ht="24" customHeight="1" x14ac:dyDescent="0.25">
      <c r="A12" s="20"/>
      <c r="B12" s="402"/>
      <c r="C12" s="320" t="s">
        <v>461</v>
      </c>
      <c r="D12" s="294" t="s">
        <v>347</v>
      </c>
      <c r="E12" s="20"/>
      <c r="F12" s="20"/>
      <c r="G12" s="20"/>
      <c r="H12" s="20"/>
      <c r="I12" s="20"/>
      <c r="J12" s="20"/>
      <c r="K12" s="20"/>
      <c r="L12" s="20"/>
      <c r="M12" s="20"/>
      <c r="N12" s="20"/>
      <c r="O12" s="20"/>
      <c r="P12" s="20"/>
      <c r="Q12" s="20"/>
      <c r="R12" s="20"/>
      <c r="S12" s="20"/>
      <c r="T12" s="20"/>
      <c r="U12" s="20"/>
      <c r="V12" s="20"/>
      <c r="W12" s="20"/>
      <c r="X12" s="20"/>
      <c r="Y12" s="20"/>
      <c r="Z12" s="20"/>
      <c r="AA12" s="20"/>
    </row>
    <row r="13" spans="1:27" ht="24" customHeight="1" x14ac:dyDescent="0.25">
      <c r="A13" s="20"/>
      <c r="B13" s="402"/>
      <c r="C13" s="320" t="s">
        <v>462</v>
      </c>
      <c r="D13" s="294" t="s">
        <v>314</v>
      </c>
      <c r="E13" s="20"/>
      <c r="F13" s="20"/>
      <c r="G13" s="20"/>
      <c r="H13" s="20"/>
      <c r="I13" s="20"/>
      <c r="J13" s="20"/>
      <c r="K13" s="20"/>
      <c r="L13" s="20"/>
      <c r="M13" s="20"/>
      <c r="N13" s="20"/>
      <c r="O13" s="20"/>
      <c r="P13" s="20"/>
      <c r="Q13" s="20"/>
      <c r="R13" s="20"/>
      <c r="S13" s="20"/>
      <c r="T13" s="20"/>
      <c r="U13" s="20"/>
      <c r="V13" s="20"/>
      <c r="W13" s="20"/>
      <c r="X13" s="20"/>
      <c r="Y13" s="20"/>
      <c r="Z13" s="20"/>
      <c r="AA13" s="20"/>
    </row>
    <row r="14" spans="1:27" ht="24" customHeight="1" x14ac:dyDescent="0.25">
      <c r="A14" s="20"/>
      <c r="B14" s="402"/>
      <c r="C14" s="320" t="s">
        <v>463</v>
      </c>
      <c r="D14" s="294" t="s">
        <v>348</v>
      </c>
      <c r="E14" s="20"/>
      <c r="F14" s="20"/>
      <c r="G14" s="20"/>
      <c r="H14" s="20"/>
      <c r="I14" s="20"/>
      <c r="J14" s="20"/>
      <c r="K14" s="20"/>
      <c r="L14" s="20"/>
      <c r="M14" s="20"/>
      <c r="N14" s="20"/>
      <c r="O14" s="20"/>
      <c r="P14" s="20"/>
      <c r="Q14" s="20"/>
      <c r="R14" s="20"/>
      <c r="S14" s="20"/>
      <c r="T14" s="20"/>
      <c r="U14" s="20"/>
      <c r="V14" s="20"/>
      <c r="W14" s="20"/>
      <c r="X14" s="20"/>
      <c r="Y14" s="20"/>
      <c r="Z14" s="20"/>
      <c r="AA14" s="20"/>
    </row>
    <row r="15" spans="1:27" ht="33" customHeight="1" x14ac:dyDescent="0.25">
      <c r="A15" s="20"/>
      <c r="B15" s="402"/>
      <c r="C15" s="320" t="s">
        <v>464</v>
      </c>
      <c r="D15" s="294" t="s">
        <v>400</v>
      </c>
      <c r="E15" s="20"/>
      <c r="F15" s="20"/>
      <c r="G15" s="20"/>
      <c r="H15" s="20"/>
      <c r="I15" s="20"/>
      <c r="J15" s="20"/>
      <c r="K15" s="20"/>
      <c r="L15" s="20"/>
      <c r="M15" s="20"/>
      <c r="N15" s="20"/>
      <c r="O15" s="20"/>
      <c r="P15" s="20"/>
      <c r="Q15" s="20"/>
      <c r="R15" s="20"/>
      <c r="S15" s="20"/>
      <c r="T15" s="20"/>
      <c r="U15" s="20"/>
      <c r="V15" s="20"/>
      <c r="W15" s="20"/>
      <c r="X15" s="20"/>
      <c r="Y15" s="20"/>
      <c r="Z15" s="20"/>
      <c r="AA15" s="20"/>
    </row>
    <row r="16" spans="1:27" ht="24" customHeight="1" x14ac:dyDescent="0.25">
      <c r="A16" s="20"/>
      <c r="B16" s="402"/>
      <c r="C16" s="320" t="s">
        <v>424</v>
      </c>
      <c r="D16" s="294" t="s">
        <v>316</v>
      </c>
      <c r="E16" s="20"/>
      <c r="F16" s="20"/>
      <c r="G16" s="20"/>
      <c r="H16" s="20"/>
      <c r="I16" s="20"/>
      <c r="J16" s="20"/>
      <c r="K16" s="20"/>
      <c r="L16" s="20"/>
      <c r="M16" s="20"/>
      <c r="N16" s="20"/>
      <c r="O16" s="20"/>
      <c r="P16" s="20"/>
      <c r="Q16" s="20"/>
      <c r="R16" s="20"/>
      <c r="S16" s="20"/>
      <c r="T16" s="20"/>
      <c r="U16" s="20"/>
      <c r="V16" s="20"/>
      <c r="W16" s="20"/>
      <c r="X16" s="20"/>
      <c r="Y16" s="20"/>
      <c r="Z16" s="20"/>
      <c r="AA16" s="20"/>
    </row>
    <row r="17" spans="1:27" ht="24" customHeight="1" x14ac:dyDescent="0.25">
      <c r="A17" s="20"/>
      <c r="B17" s="402"/>
      <c r="C17" s="320" t="s">
        <v>349</v>
      </c>
      <c r="D17" s="294" t="s">
        <v>318</v>
      </c>
      <c r="E17" s="20"/>
      <c r="F17" s="20"/>
      <c r="G17" s="20"/>
      <c r="H17" s="20"/>
      <c r="I17" s="20"/>
      <c r="J17" s="20"/>
      <c r="K17" s="20"/>
      <c r="L17" s="20"/>
      <c r="M17" s="20"/>
      <c r="N17" s="20"/>
      <c r="O17" s="20"/>
      <c r="P17" s="20"/>
      <c r="Q17" s="20"/>
      <c r="R17" s="20"/>
      <c r="S17" s="20"/>
      <c r="T17" s="20"/>
      <c r="U17" s="20"/>
      <c r="V17" s="20"/>
      <c r="W17" s="20"/>
      <c r="X17" s="20"/>
      <c r="Y17" s="20"/>
      <c r="Z17" s="20"/>
      <c r="AA17" s="20"/>
    </row>
    <row r="18" spans="1:27" ht="42.75" customHeight="1" x14ac:dyDescent="0.25">
      <c r="A18" s="20"/>
      <c r="B18" s="402"/>
      <c r="C18" s="320" t="s">
        <v>351</v>
      </c>
      <c r="D18" s="294" t="s">
        <v>404</v>
      </c>
      <c r="E18" s="20"/>
      <c r="F18" s="20"/>
      <c r="G18" s="20"/>
      <c r="H18" s="20"/>
      <c r="I18" s="20"/>
      <c r="J18" s="20"/>
      <c r="K18" s="20"/>
      <c r="L18" s="20"/>
      <c r="M18" s="20"/>
      <c r="N18" s="20"/>
      <c r="O18" s="20"/>
      <c r="P18" s="20"/>
      <c r="Q18" s="20"/>
      <c r="R18" s="20"/>
      <c r="S18" s="20"/>
      <c r="T18" s="20"/>
      <c r="U18" s="20"/>
      <c r="V18" s="20"/>
      <c r="W18" s="20"/>
      <c r="X18" s="20"/>
      <c r="Y18" s="20"/>
      <c r="Z18" s="20"/>
      <c r="AA18" s="20"/>
    </row>
    <row r="19" spans="1:27" ht="16.5" customHeight="1" x14ac:dyDescent="0.25">
      <c r="A19" s="20"/>
      <c r="B19" s="402"/>
      <c r="C19" s="282"/>
      <c r="D19" s="393" t="s">
        <v>319</v>
      </c>
      <c r="E19" s="20"/>
      <c r="F19" s="20"/>
      <c r="G19" s="20"/>
      <c r="H19" s="20"/>
      <c r="I19" s="20"/>
      <c r="J19" s="20"/>
      <c r="K19" s="20"/>
      <c r="L19" s="20"/>
      <c r="M19" s="20"/>
      <c r="N19" s="20"/>
      <c r="O19" s="20"/>
      <c r="P19" s="20"/>
      <c r="Q19" s="20"/>
      <c r="R19" s="20"/>
      <c r="S19" s="20"/>
      <c r="T19" s="20"/>
      <c r="U19" s="20"/>
      <c r="V19" s="20"/>
      <c r="W19" s="20"/>
      <c r="X19" s="20"/>
      <c r="Y19" s="20"/>
      <c r="Z19" s="20"/>
      <c r="AA19" s="20"/>
    </row>
    <row r="20" spans="1:27" ht="15" customHeight="1" x14ac:dyDescent="0.25">
      <c r="A20" s="20"/>
      <c r="B20" s="402"/>
      <c r="C20" s="282"/>
      <c r="D20" s="321" t="s">
        <v>435</v>
      </c>
      <c r="E20" s="20"/>
      <c r="F20" s="20"/>
      <c r="G20" s="20"/>
      <c r="H20" s="20"/>
      <c r="I20" s="20"/>
      <c r="J20" s="20"/>
      <c r="K20" s="20"/>
      <c r="L20" s="20"/>
      <c r="M20" s="20"/>
      <c r="N20" s="20"/>
      <c r="O20" s="20"/>
      <c r="P20" s="20"/>
      <c r="Q20" s="20"/>
      <c r="R20" s="20"/>
      <c r="S20" s="20"/>
      <c r="T20" s="20"/>
      <c r="U20" s="20"/>
      <c r="V20" s="20"/>
      <c r="W20" s="20"/>
      <c r="X20" s="20"/>
      <c r="Y20" s="20"/>
      <c r="Z20" s="20"/>
      <c r="AA20" s="20"/>
    </row>
    <row r="21" spans="1:27" ht="39" customHeight="1" x14ac:dyDescent="0.25">
      <c r="A21" s="20"/>
      <c r="B21" s="403"/>
      <c r="C21" s="322" t="s">
        <v>350</v>
      </c>
      <c r="D21" s="300" t="s">
        <v>352</v>
      </c>
      <c r="E21" s="20"/>
      <c r="F21" s="20"/>
      <c r="G21" s="20"/>
      <c r="H21" s="20"/>
      <c r="I21" s="20"/>
      <c r="J21" s="20"/>
      <c r="K21" s="20"/>
      <c r="L21" s="20"/>
      <c r="M21" s="20"/>
      <c r="N21" s="20"/>
      <c r="O21" s="20"/>
      <c r="P21" s="20"/>
      <c r="Q21" s="20"/>
      <c r="R21" s="20"/>
      <c r="S21" s="20"/>
      <c r="T21" s="20"/>
      <c r="U21" s="20"/>
      <c r="V21" s="20"/>
      <c r="W21" s="20"/>
      <c r="X21" s="20"/>
      <c r="Y21" s="20"/>
      <c r="Z21" s="20"/>
      <c r="AA21" s="20"/>
    </row>
    <row r="22" spans="1:27" x14ac:dyDescent="0.25">
      <c r="A22" s="20"/>
      <c r="B22" s="20"/>
      <c r="C22" s="20"/>
      <c r="D22" s="66"/>
      <c r="E22" s="20"/>
      <c r="F22" s="20"/>
      <c r="G22" s="20"/>
      <c r="H22" s="20"/>
      <c r="I22" s="20"/>
      <c r="J22" s="20"/>
      <c r="K22" s="20"/>
      <c r="L22" s="20"/>
      <c r="M22" s="20"/>
      <c r="N22" s="20"/>
      <c r="O22" s="20"/>
      <c r="P22" s="20"/>
      <c r="Q22" s="20"/>
      <c r="R22" s="20"/>
      <c r="S22" s="20"/>
      <c r="T22" s="20"/>
      <c r="U22" s="20"/>
      <c r="V22" s="20"/>
      <c r="W22" s="20"/>
      <c r="X22" s="20"/>
      <c r="Y22" s="20"/>
      <c r="Z22" s="20"/>
      <c r="AA22" s="20"/>
    </row>
    <row r="23" spans="1:27" ht="24" customHeight="1" x14ac:dyDescent="0.25">
      <c r="A23" s="20"/>
      <c r="B23" s="20"/>
      <c r="C23" s="20"/>
      <c r="D23" s="259"/>
      <c r="E23" s="20"/>
      <c r="F23" s="20"/>
      <c r="G23" s="20"/>
      <c r="H23" s="20"/>
      <c r="I23" s="20"/>
      <c r="J23" s="20"/>
      <c r="K23" s="20"/>
      <c r="L23" s="20"/>
      <c r="M23" s="20"/>
      <c r="N23" s="20"/>
      <c r="O23" s="20"/>
      <c r="P23" s="20"/>
      <c r="Q23" s="20"/>
      <c r="R23" s="20"/>
      <c r="S23" s="20"/>
      <c r="T23" s="20"/>
      <c r="U23" s="20"/>
      <c r="V23" s="20"/>
      <c r="W23" s="20"/>
      <c r="X23" s="20"/>
      <c r="Y23" s="20"/>
      <c r="Z23" s="20"/>
      <c r="AA23" s="20"/>
    </row>
    <row r="24" spans="1:27" ht="37.5" customHeight="1" x14ac:dyDescent="0.25">
      <c r="A24" s="20"/>
      <c r="B24" s="399" t="s">
        <v>399</v>
      </c>
      <c r="C24" s="292" t="s">
        <v>315</v>
      </c>
      <c r="D24" s="292" t="s">
        <v>372</v>
      </c>
      <c r="E24" s="20"/>
      <c r="F24" s="20"/>
      <c r="G24" s="20"/>
      <c r="H24" s="20"/>
      <c r="I24" s="20"/>
      <c r="J24" s="20"/>
      <c r="K24" s="20"/>
      <c r="L24" s="20"/>
      <c r="M24" s="20"/>
      <c r="N24" s="20"/>
      <c r="O24" s="20"/>
      <c r="P24" s="20"/>
      <c r="Q24" s="20"/>
      <c r="R24" s="20"/>
      <c r="S24" s="20"/>
      <c r="T24" s="20"/>
      <c r="U24" s="20"/>
      <c r="V24" s="20"/>
      <c r="W24" s="20"/>
      <c r="X24" s="20"/>
      <c r="Y24" s="20"/>
      <c r="Z24" s="20"/>
      <c r="AA24" s="20"/>
    </row>
    <row r="25" spans="1:27" ht="39" customHeight="1" x14ac:dyDescent="0.25">
      <c r="A25" s="20"/>
      <c r="B25" s="400"/>
      <c r="C25" s="294" t="s">
        <v>315</v>
      </c>
      <c r="D25" s="294" t="s">
        <v>407</v>
      </c>
      <c r="E25" s="20"/>
      <c r="F25" s="20"/>
      <c r="G25" s="20"/>
      <c r="H25" s="20"/>
      <c r="I25" s="20"/>
      <c r="J25" s="20"/>
      <c r="K25" s="20"/>
      <c r="L25" s="20"/>
      <c r="M25" s="20"/>
      <c r="N25" s="20"/>
      <c r="O25" s="20"/>
      <c r="P25" s="20"/>
      <c r="Q25" s="20"/>
      <c r="R25" s="20"/>
      <c r="S25" s="20"/>
      <c r="T25" s="20"/>
      <c r="U25" s="20"/>
      <c r="V25" s="20"/>
      <c r="W25" s="20"/>
      <c r="X25" s="20"/>
      <c r="Y25" s="20"/>
      <c r="Z25" s="20"/>
      <c r="AA25" s="20"/>
    </row>
    <row r="26" spans="1:27" ht="24" customHeight="1" x14ac:dyDescent="0.25">
      <c r="A26" s="20"/>
      <c r="B26" s="400"/>
      <c r="C26" s="294" t="s">
        <v>461</v>
      </c>
      <c r="D26" s="294" t="s">
        <v>322</v>
      </c>
      <c r="E26" s="20"/>
      <c r="F26" s="20"/>
      <c r="G26" s="232"/>
      <c r="H26" s="233"/>
      <c r="I26" s="397" t="s">
        <v>455</v>
      </c>
      <c r="J26" s="398"/>
      <c r="K26" s="398"/>
      <c r="L26" s="398"/>
      <c r="M26" s="234"/>
      <c r="N26" s="234"/>
      <c r="O26" s="234"/>
      <c r="P26" s="234"/>
      <c r="Q26" s="235"/>
      <c r="R26" s="20"/>
      <c r="S26" s="20"/>
      <c r="T26" s="20"/>
      <c r="U26" s="20"/>
      <c r="V26" s="20"/>
      <c r="W26" s="20"/>
      <c r="X26" s="20"/>
      <c r="Y26" s="20"/>
      <c r="Z26" s="20"/>
      <c r="AA26" s="20"/>
    </row>
    <row r="27" spans="1:27" ht="57.75" customHeight="1" x14ac:dyDescent="0.25">
      <c r="A27" s="20"/>
      <c r="B27" s="400"/>
      <c r="C27" s="294" t="s">
        <v>353</v>
      </c>
      <c r="D27" s="294" t="s">
        <v>354</v>
      </c>
      <c r="E27" s="20"/>
      <c r="F27" s="20"/>
      <c r="G27" s="236"/>
      <c r="H27" s="237"/>
      <c r="I27" s="237"/>
      <c r="J27" s="237"/>
      <c r="K27" s="237"/>
      <c r="L27" s="237"/>
      <c r="M27" s="237"/>
      <c r="N27" s="237"/>
      <c r="O27" s="237"/>
      <c r="P27" s="237"/>
      <c r="Q27" s="238"/>
      <c r="R27" s="20"/>
      <c r="S27" s="20"/>
      <c r="T27" s="20"/>
      <c r="U27" s="20"/>
      <c r="V27" s="20"/>
      <c r="W27" s="20"/>
      <c r="X27" s="20"/>
      <c r="Y27" s="20"/>
      <c r="Z27" s="20"/>
      <c r="AA27" s="20"/>
    </row>
    <row r="28" spans="1:27" ht="24" customHeight="1" x14ac:dyDescent="0.25">
      <c r="A28" s="20"/>
      <c r="B28" s="400"/>
      <c r="C28" s="294" t="s">
        <v>464</v>
      </c>
      <c r="D28" s="294" t="s">
        <v>355</v>
      </c>
      <c r="E28" s="20"/>
      <c r="F28" s="20"/>
      <c r="G28" s="239"/>
      <c r="H28" s="240"/>
      <c r="I28" s="241"/>
      <c r="J28" s="260"/>
      <c r="K28" s="323" t="s">
        <v>458</v>
      </c>
      <c r="L28" s="241"/>
      <c r="M28" s="241"/>
      <c r="N28" s="260"/>
      <c r="O28" s="237"/>
      <c r="P28" s="237"/>
      <c r="Q28" s="238"/>
      <c r="R28" s="20"/>
      <c r="S28" s="20"/>
      <c r="T28" s="20"/>
      <c r="U28" s="20"/>
      <c r="V28" s="20"/>
      <c r="W28" s="20"/>
      <c r="X28" s="20"/>
      <c r="Y28" s="20"/>
      <c r="Z28" s="20"/>
      <c r="AA28" s="20"/>
    </row>
    <row r="29" spans="1:27" ht="36.75" customHeight="1" x14ac:dyDescent="0.25">
      <c r="A29" s="20"/>
      <c r="B29" s="400"/>
      <c r="C29" s="294" t="s">
        <v>323</v>
      </c>
      <c r="D29" s="294" t="s">
        <v>329</v>
      </c>
      <c r="E29" s="20"/>
      <c r="F29" s="20"/>
      <c r="G29" s="239"/>
      <c r="H29" s="295" t="s">
        <v>383</v>
      </c>
      <c r="I29" s="237"/>
      <c r="J29" s="237"/>
      <c r="K29" s="242">
        <v>0</v>
      </c>
      <c r="L29" s="243">
        <v>1</v>
      </c>
      <c r="M29" s="243">
        <v>2</v>
      </c>
      <c r="N29" s="296" t="s">
        <v>460</v>
      </c>
      <c r="O29" s="237"/>
      <c r="P29" s="237"/>
      <c r="Q29" s="238"/>
      <c r="R29" s="20"/>
      <c r="S29" s="20"/>
      <c r="T29" s="20"/>
      <c r="U29" s="20"/>
      <c r="V29" s="20"/>
      <c r="W29" s="20"/>
      <c r="X29" s="20"/>
      <c r="Y29" s="20"/>
      <c r="Z29" s="20"/>
      <c r="AA29" s="20"/>
    </row>
    <row r="30" spans="1:27" ht="36" customHeight="1" x14ac:dyDescent="0.25">
      <c r="A30" s="20"/>
      <c r="B30" s="400"/>
      <c r="C30" s="254"/>
      <c r="D30" s="294" t="s">
        <v>321</v>
      </c>
      <c r="E30" s="20"/>
      <c r="F30" s="20"/>
      <c r="G30" s="239"/>
      <c r="H30" s="297" t="s">
        <v>384</v>
      </c>
      <c r="I30" s="237"/>
      <c r="J30" s="237"/>
      <c r="K30" s="242">
        <v>0</v>
      </c>
      <c r="L30" s="243">
        <v>1</v>
      </c>
      <c r="M30" s="243">
        <v>2</v>
      </c>
      <c r="N30" s="298" t="s">
        <v>460</v>
      </c>
      <c r="O30" s="237"/>
      <c r="P30" s="237"/>
      <c r="Q30" s="238"/>
      <c r="R30" s="20"/>
      <c r="S30" s="20"/>
      <c r="T30" s="20"/>
      <c r="U30" s="20"/>
      <c r="V30" s="20"/>
      <c r="W30" s="20"/>
      <c r="X30" s="20"/>
      <c r="Y30" s="20"/>
      <c r="Z30" s="20"/>
      <c r="AA30" s="20"/>
    </row>
    <row r="31" spans="1:27" x14ac:dyDescent="0.25">
      <c r="A31" s="20"/>
      <c r="B31" s="400"/>
      <c r="C31" s="256"/>
      <c r="D31" s="256"/>
      <c r="E31" s="20"/>
      <c r="F31" s="20"/>
      <c r="G31" s="239"/>
      <c r="H31" s="297" t="s">
        <v>385</v>
      </c>
      <c r="I31" s="237"/>
      <c r="J31" s="237"/>
      <c r="K31" s="242">
        <v>0</v>
      </c>
      <c r="L31" s="243">
        <v>1</v>
      </c>
      <c r="M31" s="243">
        <v>2</v>
      </c>
      <c r="N31" s="298" t="s">
        <v>460</v>
      </c>
      <c r="O31" s="237"/>
      <c r="P31" s="237"/>
      <c r="Q31" s="238"/>
      <c r="R31" s="20"/>
      <c r="S31" s="20"/>
      <c r="T31" s="20"/>
      <c r="U31" s="20"/>
      <c r="V31" s="20"/>
      <c r="W31" s="20"/>
      <c r="X31" s="20"/>
      <c r="Y31" s="20"/>
      <c r="Z31" s="20"/>
      <c r="AA31" s="20"/>
    </row>
    <row r="32" spans="1:27" x14ac:dyDescent="0.25">
      <c r="A32" s="20"/>
      <c r="B32" s="20"/>
      <c r="C32" s="20"/>
      <c r="D32" s="20"/>
      <c r="E32" s="20"/>
      <c r="F32" s="20"/>
      <c r="G32" s="239"/>
      <c r="H32" s="297" t="s">
        <v>386</v>
      </c>
      <c r="I32" s="237"/>
      <c r="J32" s="237"/>
      <c r="K32" s="245">
        <v>0</v>
      </c>
      <c r="L32" s="246">
        <v>1</v>
      </c>
      <c r="M32" s="247"/>
      <c r="N32" s="248"/>
      <c r="O32" s="237"/>
      <c r="P32" s="237"/>
      <c r="Q32" s="238"/>
      <c r="R32" s="20"/>
      <c r="S32" s="20"/>
      <c r="T32" s="20"/>
      <c r="U32" s="20"/>
      <c r="V32" s="20"/>
      <c r="W32" s="20"/>
      <c r="X32" s="20"/>
      <c r="Y32" s="20"/>
      <c r="Z32" s="20"/>
      <c r="AA32" s="20"/>
    </row>
    <row r="33" spans="1:27" x14ac:dyDescent="0.25">
      <c r="A33" s="20"/>
      <c r="B33" s="413" t="s">
        <v>375</v>
      </c>
      <c r="C33" s="266"/>
      <c r="D33" s="267"/>
      <c r="E33" s="20"/>
      <c r="F33" s="20"/>
      <c r="G33" s="239"/>
      <c r="H33" s="236"/>
      <c r="I33" s="237"/>
      <c r="J33" s="237"/>
      <c r="K33" s="242"/>
      <c r="L33" s="243"/>
      <c r="M33" s="243"/>
      <c r="N33" s="244"/>
      <c r="O33" s="237"/>
      <c r="P33" s="237"/>
      <c r="Q33" s="238"/>
      <c r="R33" s="20"/>
      <c r="S33" s="20"/>
      <c r="T33" s="20"/>
      <c r="U33" s="20"/>
      <c r="V33" s="20"/>
      <c r="W33" s="20"/>
      <c r="X33" s="20"/>
      <c r="Y33" s="20"/>
      <c r="Z33" s="20"/>
      <c r="AA33" s="20"/>
    </row>
    <row r="34" spans="1:27" x14ac:dyDescent="0.25">
      <c r="A34" s="20"/>
      <c r="B34" s="414"/>
      <c r="C34" s="231"/>
      <c r="D34" s="231"/>
      <c r="E34" s="20"/>
      <c r="F34" s="20"/>
      <c r="G34" s="239"/>
      <c r="H34" s="249"/>
      <c r="I34" s="324" t="s">
        <v>465</v>
      </c>
      <c r="J34" s="253"/>
      <c r="K34" s="251">
        <v>0</v>
      </c>
      <c r="L34" s="2">
        <v>1</v>
      </c>
      <c r="M34" s="2">
        <v>2</v>
      </c>
      <c r="N34" s="1">
        <v>3</v>
      </c>
      <c r="O34" s="237"/>
      <c r="P34" s="237"/>
      <c r="Q34" s="238"/>
      <c r="R34" s="20"/>
      <c r="S34" s="20"/>
      <c r="T34" s="20"/>
      <c r="U34" s="20"/>
      <c r="V34" s="20"/>
      <c r="W34" s="20"/>
      <c r="X34" s="20"/>
      <c r="Y34" s="20"/>
      <c r="Z34" s="20"/>
      <c r="AA34" s="20"/>
    </row>
    <row r="35" spans="1:27" ht="90" x14ac:dyDescent="0.25">
      <c r="A35" s="20"/>
      <c r="B35" s="414"/>
      <c r="C35" s="293" t="s">
        <v>356</v>
      </c>
      <c r="D35" s="294" t="s">
        <v>504</v>
      </c>
      <c r="E35" s="20"/>
      <c r="F35" s="20"/>
      <c r="G35" s="236"/>
      <c r="H35" s="237"/>
      <c r="I35" s="237"/>
      <c r="J35" s="237"/>
      <c r="K35" s="237"/>
      <c r="L35" s="237"/>
      <c r="M35" s="237"/>
      <c r="N35" s="237"/>
      <c r="O35" s="237"/>
      <c r="P35" s="237"/>
      <c r="Q35" s="238"/>
      <c r="R35" s="20"/>
      <c r="S35" s="20"/>
      <c r="T35" s="20"/>
      <c r="U35" s="20"/>
      <c r="V35" s="20"/>
      <c r="W35" s="20"/>
      <c r="X35" s="20"/>
      <c r="Y35" s="20"/>
      <c r="Z35" s="20"/>
      <c r="AA35" s="20"/>
    </row>
    <row r="36" spans="1:27" x14ac:dyDescent="0.25">
      <c r="A36" s="20"/>
      <c r="B36" s="414"/>
      <c r="C36" s="231"/>
      <c r="D36" s="394" t="s">
        <v>411</v>
      </c>
      <c r="E36" s="20"/>
      <c r="F36" s="20"/>
      <c r="G36" s="236"/>
      <c r="H36" s="299" t="s">
        <v>466</v>
      </c>
      <c r="I36" s="237"/>
      <c r="J36" s="237"/>
      <c r="K36" s="237"/>
      <c r="L36" s="237"/>
      <c r="M36" s="237"/>
      <c r="N36" s="237"/>
      <c r="O36" s="237"/>
      <c r="P36" s="237"/>
      <c r="Q36" s="238"/>
      <c r="R36" s="20"/>
      <c r="S36" s="20"/>
      <c r="T36" s="20"/>
      <c r="U36" s="20"/>
      <c r="V36" s="20"/>
      <c r="W36" s="20"/>
      <c r="X36" s="20"/>
      <c r="Y36" s="20"/>
      <c r="Z36" s="20"/>
      <c r="AA36" s="20"/>
    </row>
    <row r="37" spans="1:27" x14ac:dyDescent="0.25">
      <c r="A37" s="20"/>
      <c r="B37" s="414"/>
      <c r="C37" s="231"/>
      <c r="D37" s="272"/>
      <c r="E37" s="20"/>
      <c r="F37" s="20"/>
      <c r="G37" s="236"/>
      <c r="H37" s="237"/>
      <c r="I37" s="237"/>
      <c r="J37" s="237"/>
      <c r="K37" s="237"/>
      <c r="L37" s="237"/>
      <c r="M37" s="237"/>
      <c r="N37" s="237"/>
      <c r="O37" s="237"/>
      <c r="P37" s="237"/>
      <c r="Q37" s="238"/>
      <c r="R37" s="20"/>
      <c r="S37" s="20"/>
      <c r="T37" s="20"/>
      <c r="U37" s="20"/>
      <c r="V37" s="20"/>
      <c r="W37" s="20"/>
      <c r="X37" s="20"/>
      <c r="Y37" s="20"/>
      <c r="Z37" s="20"/>
      <c r="AA37" s="20"/>
    </row>
    <row r="38" spans="1:27" ht="45" x14ac:dyDescent="0.25">
      <c r="A38" s="20"/>
      <c r="B38" s="414"/>
      <c r="C38" s="293" t="s">
        <v>357</v>
      </c>
      <c r="D38" s="294" t="s">
        <v>417</v>
      </c>
      <c r="E38" s="20"/>
      <c r="F38" s="20"/>
      <c r="G38" s="236"/>
      <c r="H38" s="299" t="s">
        <v>467</v>
      </c>
      <c r="I38" s="299" t="s">
        <v>387</v>
      </c>
      <c r="J38" s="237"/>
      <c r="K38" s="237"/>
      <c r="L38" s="237"/>
      <c r="M38" s="237"/>
      <c r="N38" s="237"/>
      <c r="O38" s="237"/>
      <c r="P38" s="237"/>
      <c r="Q38" s="238"/>
      <c r="R38" s="20"/>
      <c r="S38" s="20"/>
      <c r="T38" s="20"/>
      <c r="U38" s="20"/>
      <c r="V38" s="20"/>
      <c r="W38" s="20"/>
      <c r="X38" s="20"/>
      <c r="Y38" s="20"/>
      <c r="Z38" s="20"/>
      <c r="AA38" s="20"/>
    </row>
    <row r="39" spans="1:27" x14ac:dyDescent="0.25">
      <c r="A39" s="20"/>
      <c r="B39" s="414"/>
      <c r="C39" s="255"/>
      <c r="D39" s="300" t="s">
        <v>358</v>
      </c>
      <c r="E39" s="20"/>
      <c r="F39" s="20"/>
      <c r="G39" s="236"/>
      <c r="H39" s="325" t="s">
        <v>468</v>
      </c>
      <c r="I39" s="325" t="s">
        <v>388</v>
      </c>
      <c r="J39" s="237"/>
      <c r="K39" s="237"/>
      <c r="L39" s="237"/>
      <c r="M39" s="237"/>
      <c r="N39" s="237"/>
      <c r="O39" s="237"/>
      <c r="P39" s="237"/>
      <c r="Q39" s="238"/>
      <c r="R39" s="20"/>
      <c r="S39" s="20"/>
      <c r="T39" s="20"/>
      <c r="U39" s="20"/>
      <c r="V39" s="20"/>
      <c r="W39" s="20"/>
      <c r="X39" s="20"/>
      <c r="Y39" s="20"/>
      <c r="Z39" s="20"/>
      <c r="AA39" s="20"/>
    </row>
    <row r="40" spans="1:27" ht="17.100000000000001" customHeight="1" x14ac:dyDescent="0.25">
      <c r="A40" s="20"/>
      <c r="B40" s="414"/>
      <c r="C40" s="231"/>
      <c r="D40" s="254"/>
      <c r="E40" s="20"/>
      <c r="F40" s="20"/>
      <c r="G40" s="236"/>
      <c r="H40" s="299" t="s">
        <v>469</v>
      </c>
      <c r="I40" s="299" t="s">
        <v>390</v>
      </c>
      <c r="J40" s="237"/>
      <c r="K40" s="237"/>
      <c r="L40" s="237"/>
      <c r="M40" s="237"/>
      <c r="N40" s="237"/>
      <c r="O40" s="237"/>
      <c r="P40" s="237"/>
      <c r="Q40" s="238"/>
      <c r="R40" s="20"/>
      <c r="S40" s="20"/>
      <c r="T40" s="20"/>
      <c r="U40" s="20"/>
      <c r="V40" s="20"/>
      <c r="W40" s="20"/>
      <c r="X40" s="20"/>
      <c r="Y40" s="20"/>
      <c r="Z40" s="20"/>
      <c r="AA40" s="20"/>
    </row>
    <row r="41" spans="1:27" ht="31.5" customHeight="1" x14ac:dyDescent="0.25">
      <c r="A41" s="20"/>
      <c r="B41" s="414"/>
      <c r="C41" s="293" t="s">
        <v>359</v>
      </c>
      <c r="D41" s="294" t="s">
        <v>418</v>
      </c>
      <c r="E41" s="20"/>
      <c r="F41" s="20"/>
      <c r="G41" s="236"/>
      <c r="H41" s="299" t="s">
        <v>389</v>
      </c>
      <c r="I41" s="299" t="s">
        <v>391</v>
      </c>
      <c r="J41" s="237"/>
      <c r="K41" s="237"/>
      <c r="L41" s="237"/>
      <c r="M41" s="237"/>
      <c r="N41" s="237"/>
      <c r="O41" s="237"/>
      <c r="P41" s="237"/>
      <c r="Q41" s="238"/>
      <c r="R41" s="20"/>
      <c r="S41" s="20"/>
      <c r="T41" s="20"/>
      <c r="U41" s="20"/>
      <c r="V41" s="20"/>
      <c r="W41" s="20"/>
      <c r="X41" s="20"/>
      <c r="Y41" s="20"/>
      <c r="Z41" s="20"/>
      <c r="AA41" s="20"/>
    </row>
    <row r="42" spans="1:27" ht="45" x14ac:dyDescent="0.25">
      <c r="A42" s="20"/>
      <c r="B42" s="414"/>
      <c r="C42" s="255"/>
      <c r="D42" s="300" t="s">
        <v>419</v>
      </c>
      <c r="E42" s="20"/>
      <c r="F42" s="20"/>
      <c r="G42" s="410" t="s">
        <v>470</v>
      </c>
      <c r="H42" s="411"/>
      <c r="I42" s="411"/>
      <c r="J42" s="411"/>
      <c r="K42" s="411"/>
      <c r="L42" s="411"/>
      <c r="M42" s="411"/>
      <c r="N42" s="411"/>
      <c r="O42" s="411"/>
      <c r="P42" s="411"/>
      <c r="Q42" s="412"/>
      <c r="R42" s="20"/>
      <c r="S42" s="20"/>
      <c r="T42" s="20"/>
      <c r="U42" s="20"/>
      <c r="V42" s="20"/>
      <c r="W42" s="20"/>
      <c r="X42" s="20"/>
      <c r="Y42" s="20"/>
      <c r="Z42" s="20"/>
      <c r="AA42" s="20"/>
    </row>
    <row r="43" spans="1:27" x14ac:dyDescent="0.25">
      <c r="A43" s="20"/>
      <c r="B43" s="414"/>
      <c r="C43" s="231"/>
      <c r="D43" s="254"/>
      <c r="E43" s="20"/>
      <c r="F43" s="20"/>
      <c r="G43" s="407" t="s">
        <v>397</v>
      </c>
      <c r="H43" s="408"/>
      <c r="I43" s="408"/>
      <c r="J43" s="408"/>
      <c r="K43" s="408"/>
      <c r="L43" s="408"/>
      <c r="M43" s="408"/>
      <c r="N43" s="408"/>
      <c r="O43" s="408"/>
      <c r="P43" s="408"/>
      <c r="Q43" s="409"/>
      <c r="R43" s="20"/>
      <c r="S43" s="20"/>
      <c r="T43" s="20"/>
      <c r="U43" s="20"/>
      <c r="V43" s="20"/>
      <c r="W43" s="20"/>
      <c r="X43" s="20"/>
      <c r="Y43" s="20"/>
      <c r="Z43" s="20"/>
      <c r="AA43" s="20"/>
    </row>
    <row r="44" spans="1:27" ht="15" customHeight="1" x14ac:dyDescent="0.25">
      <c r="A44" s="20"/>
      <c r="B44" s="414"/>
      <c r="C44" s="326" t="s">
        <v>360</v>
      </c>
      <c r="D44" s="300" t="s">
        <v>420</v>
      </c>
      <c r="E44" s="20"/>
      <c r="F44" s="20"/>
      <c r="G44" s="404" t="s">
        <v>380</v>
      </c>
      <c r="H44" s="405"/>
      <c r="I44" s="405"/>
      <c r="J44" s="405"/>
      <c r="K44" s="405"/>
      <c r="L44" s="405"/>
      <c r="M44" s="405"/>
      <c r="N44" s="405"/>
      <c r="O44" s="405"/>
      <c r="P44" s="405"/>
      <c r="Q44" s="406"/>
      <c r="R44" s="20"/>
      <c r="S44" s="20"/>
      <c r="T44" s="20"/>
      <c r="U44" s="20"/>
      <c r="V44" s="20"/>
      <c r="W44" s="20"/>
      <c r="X44" s="20"/>
      <c r="Y44" s="20"/>
      <c r="Z44" s="20"/>
      <c r="AA44" s="20"/>
    </row>
    <row r="45" spans="1:27" ht="15" customHeight="1" x14ac:dyDescent="0.25">
      <c r="A45" s="20"/>
      <c r="B45" s="414"/>
      <c r="C45" s="231"/>
      <c r="D45" s="254"/>
      <c r="E45" s="20"/>
      <c r="F45" s="20"/>
      <c r="G45" s="252"/>
      <c r="H45" s="4"/>
      <c r="I45" s="4"/>
      <c r="J45" s="4"/>
      <c r="K45" s="4"/>
      <c r="L45" s="4"/>
      <c r="M45" s="4"/>
      <c r="N45" s="4"/>
      <c r="O45" s="4"/>
      <c r="P45" s="4"/>
      <c r="Q45" s="3"/>
      <c r="R45" s="20"/>
      <c r="S45" s="20"/>
      <c r="T45" s="20"/>
      <c r="U45" s="20"/>
      <c r="V45" s="20"/>
      <c r="W45" s="20"/>
      <c r="X45" s="20"/>
      <c r="Y45" s="20"/>
      <c r="Z45" s="20"/>
      <c r="AA45" s="20"/>
    </row>
    <row r="46" spans="1:27" ht="30" x14ac:dyDescent="0.25">
      <c r="A46" s="20"/>
      <c r="B46" s="414"/>
      <c r="C46" s="326" t="s">
        <v>361</v>
      </c>
      <c r="D46" s="300" t="s">
        <v>362</v>
      </c>
      <c r="E46" s="20"/>
      <c r="F46" s="20"/>
      <c r="G46" s="236"/>
      <c r="H46" s="237"/>
      <c r="I46" s="237"/>
      <c r="J46" s="237"/>
      <c r="K46" s="237"/>
      <c r="L46" s="237"/>
      <c r="M46" s="237"/>
      <c r="N46" s="237"/>
      <c r="O46" s="237"/>
      <c r="P46" s="237"/>
      <c r="Q46" s="238"/>
      <c r="R46" s="20"/>
      <c r="S46" s="20"/>
      <c r="T46" s="20"/>
      <c r="U46" s="20"/>
      <c r="V46" s="20"/>
      <c r="W46" s="20"/>
      <c r="X46" s="20"/>
      <c r="Y46" s="20"/>
      <c r="Z46" s="20"/>
      <c r="AA46" s="20"/>
    </row>
    <row r="47" spans="1:27" ht="39" customHeight="1" x14ac:dyDescent="0.25">
      <c r="A47" s="20"/>
      <c r="B47" s="415"/>
      <c r="C47" s="301" t="s">
        <v>430</v>
      </c>
      <c r="D47" s="301" t="s">
        <v>421</v>
      </c>
      <c r="E47" s="20"/>
      <c r="F47" s="20"/>
      <c r="G47" s="404" t="s">
        <v>379</v>
      </c>
      <c r="H47" s="405"/>
      <c r="I47" s="405"/>
      <c r="J47" s="405"/>
      <c r="K47" s="405"/>
      <c r="L47" s="405"/>
      <c r="M47" s="405"/>
      <c r="N47" s="405"/>
      <c r="O47" s="405"/>
      <c r="P47" s="405"/>
      <c r="Q47" s="406"/>
      <c r="R47" s="20"/>
      <c r="S47" s="20"/>
      <c r="T47" s="20"/>
      <c r="U47" s="20"/>
      <c r="V47" s="20"/>
      <c r="W47" s="20"/>
      <c r="X47" s="20"/>
      <c r="Y47" s="20"/>
      <c r="Z47" s="20"/>
      <c r="AA47" s="20"/>
    </row>
    <row r="48" spans="1:27" x14ac:dyDescent="0.25">
      <c r="A48" s="20"/>
      <c r="B48" s="20"/>
      <c r="C48" s="20"/>
      <c r="D48" s="20"/>
      <c r="E48" s="20"/>
      <c r="F48" s="20"/>
      <c r="G48" s="249"/>
      <c r="H48" s="250"/>
      <c r="I48" s="250"/>
      <c r="J48" s="250"/>
      <c r="K48" s="250"/>
      <c r="L48" s="250"/>
      <c r="M48" s="250"/>
      <c r="N48" s="250"/>
      <c r="O48" s="250"/>
      <c r="P48" s="250"/>
      <c r="Q48" s="253"/>
      <c r="R48" s="20"/>
      <c r="S48" s="20"/>
      <c r="T48" s="20"/>
      <c r="U48" s="20"/>
      <c r="V48" s="20"/>
      <c r="W48" s="20"/>
      <c r="X48" s="20"/>
      <c r="Y48" s="20"/>
      <c r="Z48" s="20"/>
      <c r="AA48" s="20"/>
    </row>
    <row r="49" spans="1:27"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1:27"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1:27"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1:27"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1:27" x14ac:dyDescent="0.25">
      <c r="A53" s="20"/>
      <c r="B53" s="20"/>
      <c r="C53" s="20"/>
      <c r="D53" s="66"/>
      <c r="E53" s="20"/>
      <c r="F53" s="20"/>
      <c r="G53" s="20"/>
      <c r="H53" s="20"/>
      <c r="I53" s="20"/>
      <c r="J53" s="20"/>
      <c r="K53" s="20"/>
      <c r="L53" s="20"/>
      <c r="M53" s="20"/>
      <c r="N53" s="20"/>
      <c r="O53" s="20"/>
      <c r="P53" s="20"/>
      <c r="Q53" s="20"/>
      <c r="R53" s="20"/>
      <c r="S53" s="20"/>
      <c r="T53" s="20"/>
      <c r="U53" s="20"/>
      <c r="V53" s="20"/>
      <c r="W53" s="20"/>
      <c r="X53" s="20"/>
      <c r="Y53" s="20"/>
      <c r="Z53" s="20"/>
      <c r="AA53" s="20"/>
    </row>
    <row r="54" spans="1:27"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row>
    <row r="55" spans="1:27"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row>
    <row r="56" spans="1:27"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row>
    <row r="57" spans="1:27"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1:27"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1:27"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1:27"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1:27"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1:27"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1:27"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1:27"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1:27"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1:27"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1:27"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1:27"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1:27"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1:27"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1:27"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1:27"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1:27"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1:27"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1:27"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1:27"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1:27"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1:27"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1:27"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1:27"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1:27"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1:27"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1:27"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1:27"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1:27"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1:27"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1:27"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1:27"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1:27"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1:27"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1:27"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1:27"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1:27"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1:27"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1:27"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1:27"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1:27"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1:27"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1:27"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1:27"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1:27"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1:27"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1:27"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1:27"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1:27"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1:27"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1:27"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1:27"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1:27"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1:27"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1:27"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1:27"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1:27"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1:27"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1:27"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1:27"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1:27"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1:27"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1:27"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1:27"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1:27"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1:27"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1:27"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1:27"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1:27"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1:27"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1:27"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1:27"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1:27"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1:27"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1:27"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1:27"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1:27"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1:27"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1:27"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1:27"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1:27"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1:27"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1:27"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1:27"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1:27"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1:27"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1:27"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1:27"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1:27"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1:27"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1:27"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1:27"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1:27"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1:27"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1:27"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1:27"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1:27"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1:27"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1:27"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1:27"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1:27"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1:27"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1:27"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1:27"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1:27"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1:27"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1:27"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1:27"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1:27"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1:27"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1:27"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1:27"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1:27"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1:27"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1:27"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1:27"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1:27"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1:27"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1:27"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1:27"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1:27"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1:27"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1:27"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1:27"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1:27"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1:27"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1:27"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1:27"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1:27"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1:27"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1:27"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1:27"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1:27"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1:27"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1:27"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1:27"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1:27"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1:27"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1:27"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1:27"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1:27" x14ac:dyDescent="0.25">
      <c r="B197" s="20"/>
      <c r="C197" s="20"/>
      <c r="D197" s="20"/>
    </row>
    <row r="198" spans="1:27" x14ac:dyDescent="0.25">
      <c r="B198" s="20"/>
      <c r="C198" s="20"/>
      <c r="D198" s="20"/>
    </row>
    <row r="199" spans="1:27" x14ac:dyDescent="0.25">
      <c r="C199" s="20"/>
      <c r="D199" s="20"/>
    </row>
  </sheetData>
  <sheetProtection algorithmName="SHA-512" hashValue="9gT6b8aSqaxrdFvwjKjkxVmL3ccXv7DjVs9wtbn66Jf+YBHf4+yheYoZ4rSnsO6zYMQxdSnnQzApEW8VQccYvw==" saltValue="7BrhY7y4DpGUNgnyd1PA3A==" spinCount="100000" sheet="1" objects="1" scenarios="1"/>
  <mergeCells count="8">
    <mergeCell ref="I26:L26"/>
    <mergeCell ref="B24:B31"/>
    <mergeCell ref="B9:B21"/>
    <mergeCell ref="G44:Q44"/>
    <mergeCell ref="G47:Q47"/>
    <mergeCell ref="G43:Q43"/>
    <mergeCell ref="G42:Q42"/>
    <mergeCell ref="B33:B47"/>
  </mergeCells>
  <hyperlinks>
    <hyperlink ref="D19" r:id="rId1" xr:uid="{00000000-0004-0000-0500-000000000000}"/>
    <hyperlink ref="D20" r:id="rId2" xr:uid="{00000000-0004-0000-0500-000001000000}"/>
    <hyperlink ref="D36" r:id="rId3" xr:uid="{00000000-0004-0000-0500-000002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E117-4C3E-4F03-AAB9-4FEDD1627D39}">
  <sheetPr>
    <tabColor rgb="FF00B0F0"/>
  </sheetPr>
  <dimension ref="B2:Y34"/>
  <sheetViews>
    <sheetView tabSelected="1" zoomScale="90" zoomScaleNormal="90" workbookViewId="0">
      <selection activeCell="C26" sqref="C26:M28"/>
    </sheetView>
  </sheetViews>
  <sheetFormatPr defaultRowHeight="15" x14ac:dyDescent="0.25"/>
  <cols>
    <col min="2" max="2" width="9.140625" customWidth="1"/>
    <col min="3" max="3" width="14.42578125" customWidth="1"/>
    <col min="4" max="4" width="12.5703125" customWidth="1"/>
    <col min="5" max="5" width="11.85546875" customWidth="1"/>
    <col min="6" max="6" width="12.140625" customWidth="1"/>
    <col min="7" max="7" width="12.28515625" customWidth="1"/>
    <col min="8" max="8" width="13.140625" customWidth="1"/>
    <col min="9" max="9" width="13.28515625" customWidth="1"/>
    <col min="10" max="10" width="12.140625" customWidth="1"/>
    <col min="11" max="11" width="16.140625" style="7" customWidth="1"/>
    <col min="12" max="25" width="9.140625" customWidth="1"/>
  </cols>
  <sheetData>
    <row r="2" spans="2:14" ht="15.75" thickBot="1" x14ac:dyDescent="0.3"/>
    <row r="3" spans="2:14" ht="15.75" thickBot="1" x14ac:dyDescent="0.3">
      <c r="B3" s="289" t="s">
        <v>452</v>
      </c>
      <c r="C3" s="290" t="str">
        <f>Amrwymiadau!D2</f>
        <v>SRoC CNC f2 2024-25</v>
      </c>
      <c r="D3" s="257"/>
      <c r="E3" s="258"/>
      <c r="F3" s="17"/>
      <c r="G3" s="17"/>
      <c r="H3" s="17"/>
      <c r="I3" s="17"/>
      <c r="J3" s="17"/>
      <c r="K3" s="18"/>
      <c r="L3" s="17"/>
      <c r="M3" s="17"/>
      <c r="N3" s="21"/>
    </row>
    <row r="4" spans="2:14" ht="15" customHeight="1" x14ac:dyDescent="0.25">
      <c r="B4" s="19"/>
      <c r="C4" s="20"/>
      <c r="D4" s="425" t="s">
        <v>367</v>
      </c>
      <c r="E4" s="426"/>
      <c r="F4" s="426"/>
      <c r="G4" s="426"/>
      <c r="H4" s="426"/>
      <c r="I4" s="426"/>
      <c r="J4" s="20"/>
      <c r="K4" s="32"/>
      <c r="L4" s="20"/>
      <c r="M4" s="20"/>
      <c r="N4" s="22"/>
    </row>
    <row r="5" spans="2:14" ht="15" customHeight="1" x14ac:dyDescent="0.25">
      <c r="B5" s="19"/>
      <c r="C5" s="58"/>
      <c r="D5" s="426"/>
      <c r="E5" s="426"/>
      <c r="F5" s="426"/>
      <c r="G5" s="426"/>
      <c r="H5" s="426"/>
      <c r="I5" s="426"/>
      <c r="J5" s="20"/>
      <c r="K5" s="32"/>
      <c r="L5" s="20"/>
      <c r="M5" s="20"/>
      <c r="N5" s="22"/>
    </row>
    <row r="6" spans="2:14" ht="15" customHeight="1" x14ac:dyDescent="0.25">
      <c r="B6" s="19"/>
      <c r="C6" s="58"/>
      <c r="D6" s="426"/>
      <c r="E6" s="426"/>
      <c r="F6" s="426"/>
      <c r="G6" s="426"/>
      <c r="H6" s="426"/>
      <c r="I6" s="426"/>
      <c r="J6" s="20"/>
      <c r="K6" s="32"/>
      <c r="L6" s="20"/>
      <c r="M6" s="20"/>
      <c r="N6" s="22"/>
    </row>
    <row r="7" spans="2:14" ht="15" customHeight="1" x14ac:dyDescent="0.25">
      <c r="B7" s="19"/>
      <c r="C7" s="58"/>
      <c r="D7" s="426"/>
      <c r="E7" s="426"/>
      <c r="F7" s="426"/>
      <c r="G7" s="426"/>
      <c r="H7" s="426"/>
      <c r="I7" s="426"/>
      <c r="J7" s="20"/>
      <c r="K7" s="32"/>
      <c r="L7" s="20"/>
      <c r="M7" s="20"/>
      <c r="N7" s="22"/>
    </row>
    <row r="8" spans="2:14" ht="27.75" customHeight="1" x14ac:dyDescent="0.3">
      <c r="B8" s="19"/>
      <c r="C8" s="20"/>
      <c r="D8" s="427"/>
      <c r="E8" s="427"/>
      <c r="F8" s="427"/>
      <c r="G8" s="427"/>
      <c r="H8" s="427"/>
      <c r="I8" s="427"/>
      <c r="J8" s="20"/>
      <c r="K8" s="32"/>
      <c r="L8" s="33"/>
      <c r="M8" s="30"/>
      <c r="N8" s="23"/>
    </row>
    <row r="9" spans="2:14" ht="23.1" customHeight="1" x14ac:dyDescent="0.3">
      <c r="B9" s="19"/>
      <c r="C9" s="418" t="s">
        <v>471</v>
      </c>
      <c r="D9" s="428"/>
      <c r="E9" s="429"/>
      <c r="F9" s="430"/>
      <c r="G9" s="430"/>
      <c r="H9" s="431"/>
      <c r="I9" s="20"/>
      <c r="J9" s="443" t="s">
        <v>401</v>
      </c>
      <c r="K9" s="444"/>
      <c r="L9" s="416"/>
      <c r="M9" s="417"/>
      <c r="N9" s="23"/>
    </row>
    <row r="10" spans="2:14" ht="23.1" customHeight="1" x14ac:dyDescent="0.25">
      <c r="B10" s="19"/>
      <c r="C10" s="418" t="s">
        <v>0</v>
      </c>
      <c r="D10" s="419"/>
      <c r="E10" s="420"/>
      <c r="F10" s="421"/>
      <c r="G10" s="421"/>
      <c r="H10" s="422"/>
      <c r="I10" s="20"/>
      <c r="J10" s="20"/>
      <c r="K10" s="32"/>
      <c r="L10" s="20"/>
      <c r="M10" s="20"/>
      <c r="N10" s="22"/>
    </row>
    <row r="11" spans="2:14" ht="23.1" customHeight="1" x14ac:dyDescent="0.25">
      <c r="B11" s="19"/>
      <c r="C11" s="418" t="s">
        <v>472</v>
      </c>
      <c r="D11" s="419"/>
      <c r="E11" s="423"/>
      <c r="F11" s="421"/>
      <c r="G11" s="421"/>
      <c r="H11" s="422"/>
      <c r="I11" s="20"/>
      <c r="J11" s="441" t="s">
        <v>368</v>
      </c>
      <c r="K11" s="442"/>
      <c r="L11" s="424" t="str">
        <f>IF(Amrwymiadau!I18="yes","Sylweddol",IF(Amrwymiadau!I18="no","Arferol",""))</f>
        <v/>
      </c>
      <c r="M11" s="424"/>
      <c r="N11" s="22"/>
    </row>
    <row r="12" spans="2:14" ht="23.1" customHeight="1" x14ac:dyDescent="0.25">
      <c r="B12" s="19"/>
      <c r="C12" s="55"/>
      <c r="D12" s="55"/>
      <c r="E12" s="58"/>
      <c r="F12" s="58"/>
      <c r="G12" s="58"/>
      <c r="H12" s="58"/>
      <c r="I12" s="20"/>
      <c r="J12" s="441" t="s">
        <v>369</v>
      </c>
      <c r="K12" s="442"/>
      <c r="L12" s="463" t="str">
        <f>Amrwymiadau!M49</f>
        <v/>
      </c>
      <c r="M12" s="463"/>
      <c r="N12" s="22"/>
    </row>
    <row r="13" spans="2:14" ht="23.1" customHeight="1" x14ac:dyDescent="0.25">
      <c r="B13" s="19"/>
      <c r="C13" s="448" t="str">
        <f>"Bandiau sylfaenol ar gyfer ceisiadau amrywio "&amp;RIGHT(C3,7)</f>
        <v>Bandiau sylfaenol ar gyfer ceisiadau amrywio 2024-25</v>
      </c>
      <c r="D13" s="449"/>
      <c r="E13" s="449"/>
      <c r="F13" s="449"/>
      <c r="G13" s="449"/>
      <c r="H13" s="58"/>
      <c r="I13" s="20"/>
      <c r="J13" s="450" t="s">
        <v>437</v>
      </c>
      <c r="K13" s="451"/>
      <c r="L13" s="20"/>
      <c r="M13" s="50" t="str">
        <f>IF(L11="Substantial",Amrwymiadau!M51,IF(L11="Normal",Amrwymiadau!M52,""))</f>
        <v/>
      </c>
      <c r="N13" s="22"/>
    </row>
    <row r="14" spans="2:14" ht="28.5" customHeight="1" x14ac:dyDescent="0.25">
      <c r="B14" s="19"/>
      <c r="C14" s="115"/>
      <c r="D14" s="327" t="s">
        <v>405</v>
      </c>
      <c r="E14" s="328" t="s">
        <v>436</v>
      </c>
      <c r="F14" s="328" t="s">
        <v>378</v>
      </c>
      <c r="G14" s="329" t="s">
        <v>377</v>
      </c>
      <c r="H14" s="58"/>
      <c r="I14" s="20"/>
      <c r="J14" s="450" t="s">
        <v>431</v>
      </c>
      <c r="K14" s="451"/>
      <c r="L14" s="20"/>
      <c r="M14" s="50">
        <f>Amrwymiadau!M64</f>
        <v>0</v>
      </c>
      <c r="N14" s="22"/>
    </row>
    <row r="15" spans="2:14" ht="23.1" customHeight="1" x14ac:dyDescent="0.25">
      <c r="B15" s="19"/>
      <c r="C15" s="330" t="s">
        <v>438</v>
      </c>
      <c r="D15" s="116">
        <f>Amrwymiadau!N44</f>
        <v>8967</v>
      </c>
      <c r="E15" s="116">
        <f>Amrwymiadau!O44</f>
        <v>11413</v>
      </c>
      <c r="F15" s="116">
        <f>Amrwymiadau!P44</f>
        <v>19580</v>
      </c>
      <c r="G15" s="117">
        <f>Amrwymiadau!Q44</f>
        <v>35132</v>
      </c>
      <c r="H15" s="25"/>
      <c r="I15" s="25"/>
      <c r="J15" s="450" t="s">
        <v>473</v>
      </c>
      <c r="K15" s="451"/>
      <c r="L15" s="25"/>
      <c r="M15" s="50">
        <f>Amrwymiadau!M78</f>
        <v>0</v>
      </c>
      <c r="N15" s="22"/>
    </row>
    <row r="16" spans="2:14" ht="23.1" customHeight="1" x14ac:dyDescent="0.25">
      <c r="B16" s="19"/>
      <c r="C16" s="331" t="s">
        <v>346</v>
      </c>
      <c r="D16" s="118">
        <f>Amrwymiadau!N46</f>
        <v>13035</v>
      </c>
      <c r="E16" s="118">
        <f>Amrwymiadau!O46</f>
        <v>19635</v>
      </c>
      <c r="F16" s="118">
        <f>Amrwymiadau!P46</f>
        <v>31395</v>
      </c>
      <c r="G16" s="119">
        <f>Amrwymiadau!Q46</f>
        <v>42687</v>
      </c>
      <c r="H16" s="25"/>
      <c r="I16" s="25"/>
      <c r="J16" s="441" t="s">
        <v>376</v>
      </c>
      <c r="K16" s="442"/>
      <c r="L16" s="25"/>
      <c r="M16" s="120">
        <f>Amrwymiadau!M81</f>
        <v>0</v>
      </c>
      <c r="N16" s="22"/>
    </row>
    <row r="17" spans="2:25" ht="21.75" customHeight="1" x14ac:dyDescent="0.25">
      <c r="B17" s="19"/>
      <c r="C17" s="121"/>
      <c r="D17" s="121"/>
      <c r="E17" s="121"/>
      <c r="F17" s="121"/>
      <c r="G17" s="20"/>
      <c r="H17" s="122"/>
      <c r="I17" s="20"/>
      <c r="J17" s="390" t="s">
        <v>474</v>
      </c>
      <c r="K17" s="391"/>
      <c r="L17" s="25"/>
      <c r="M17" s="56">
        <f>Amrwymiadau!M83</f>
        <v>0</v>
      </c>
      <c r="N17" s="22"/>
    </row>
    <row r="18" spans="2:25" ht="39" customHeight="1" x14ac:dyDescent="0.25">
      <c r="B18" s="19"/>
      <c r="C18" s="20"/>
      <c r="D18" s="122"/>
      <c r="E18" s="20"/>
      <c r="F18" s="122"/>
      <c r="G18" s="20"/>
      <c r="H18" s="20"/>
      <c r="I18" s="34"/>
      <c r="J18" s="34"/>
      <c r="K18" s="34"/>
      <c r="L18" s="34"/>
      <c r="M18" s="34"/>
      <c r="N18" s="22"/>
    </row>
    <row r="19" spans="2:25" ht="15" customHeight="1" x14ac:dyDescent="0.25">
      <c r="B19" s="19"/>
      <c r="C19" s="432" t="s">
        <v>374</v>
      </c>
      <c r="D19" s="433"/>
      <c r="E19" s="433"/>
      <c r="F19" s="433"/>
      <c r="G19" s="433"/>
      <c r="H19" s="433"/>
      <c r="I19" s="433"/>
      <c r="J19" s="433"/>
      <c r="K19" s="434"/>
      <c r="L19" s="34"/>
      <c r="M19" s="34"/>
      <c r="N19" s="22"/>
    </row>
    <row r="20" spans="2:25" ht="15" customHeight="1" x14ac:dyDescent="0.25">
      <c r="B20" s="19"/>
      <c r="C20" s="435"/>
      <c r="D20" s="436"/>
      <c r="E20" s="436"/>
      <c r="F20" s="436"/>
      <c r="G20" s="436"/>
      <c r="H20" s="436"/>
      <c r="I20" s="436"/>
      <c r="J20" s="436"/>
      <c r="K20" s="437"/>
      <c r="L20" s="34"/>
      <c r="M20" s="34"/>
      <c r="N20" s="22"/>
    </row>
    <row r="21" spans="2:25" ht="14.45" customHeight="1" x14ac:dyDescent="0.25">
      <c r="B21" s="19"/>
      <c r="C21" s="438"/>
      <c r="D21" s="439"/>
      <c r="E21" s="439"/>
      <c r="F21" s="439"/>
      <c r="G21" s="439"/>
      <c r="H21" s="439"/>
      <c r="I21" s="439"/>
      <c r="J21" s="439"/>
      <c r="K21" s="440"/>
      <c r="L21" s="59"/>
      <c r="M21" s="59"/>
      <c r="N21" s="22"/>
    </row>
    <row r="22" spans="2:25" ht="54" customHeight="1" x14ac:dyDescent="0.25">
      <c r="B22" s="19"/>
      <c r="C22" s="473" t="s">
        <v>475</v>
      </c>
      <c r="D22" s="474"/>
      <c r="E22" s="303" t="s">
        <v>476</v>
      </c>
      <c r="F22" s="304" t="s">
        <v>477</v>
      </c>
      <c r="G22" s="305" t="s">
        <v>478</v>
      </c>
      <c r="H22" s="306" t="s">
        <v>479</v>
      </c>
      <c r="I22" s="307" t="s">
        <v>480</v>
      </c>
      <c r="J22" s="308" t="s">
        <v>481</v>
      </c>
      <c r="K22" s="309" t="s">
        <v>482</v>
      </c>
      <c r="L22" s="59"/>
      <c r="M22" s="35"/>
      <c r="N22" s="22"/>
      <c r="R22" s="36"/>
      <c r="U22" s="445"/>
      <c r="V22" s="445"/>
      <c r="W22" s="445"/>
      <c r="X22" s="445"/>
      <c r="Y22" s="445"/>
    </row>
    <row r="23" spans="2:25" x14ac:dyDescent="0.25">
      <c r="B23" s="19"/>
      <c r="C23" s="20"/>
      <c r="D23" s="20"/>
      <c r="E23" s="20"/>
      <c r="F23" s="20"/>
      <c r="G23" s="20"/>
      <c r="H23" s="20"/>
      <c r="I23" s="31"/>
      <c r="J23" s="31"/>
      <c r="K23" s="31"/>
      <c r="L23" s="31"/>
      <c r="M23" s="31"/>
      <c r="N23" s="22"/>
      <c r="U23" s="445"/>
      <c r="V23" s="445"/>
      <c r="W23" s="445"/>
      <c r="X23" s="445"/>
      <c r="Y23" s="445"/>
    </row>
    <row r="24" spans="2:25" x14ac:dyDescent="0.25">
      <c r="B24" s="24"/>
      <c r="C24" s="332" t="s">
        <v>317</v>
      </c>
      <c r="D24" s="123"/>
      <c r="E24" s="123"/>
      <c r="F24" s="123"/>
      <c r="G24" s="123"/>
      <c r="H24" s="123"/>
      <c r="I24" s="123"/>
      <c r="J24" s="123"/>
      <c r="K24" s="123"/>
      <c r="L24" s="123"/>
      <c r="M24" s="124"/>
      <c r="N24" s="22"/>
      <c r="U24" s="445"/>
      <c r="V24" s="445"/>
      <c r="W24" s="445"/>
      <c r="X24" s="445"/>
      <c r="Y24" s="445"/>
    </row>
    <row r="25" spans="2:25" ht="28.5" customHeight="1" x14ac:dyDescent="0.25">
      <c r="B25" s="19"/>
      <c r="C25" s="443" t="s">
        <v>366</v>
      </c>
      <c r="D25" s="446"/>
      <c r="E25" s="446"/>
      <c r="F25" s="446"/>
      <c r="G25" s="446"/>
      <c r="H25" s="446"/>
      <c r="I25" s="446"/>
      <c r="J25" s="446"/>
      <c r="K25" s="446"/>
      <c r="L25" s="446"/>
      <c r="M25" s="447"/>
      <c r="N25" s="22"/>
      <c r="U25" s="445"/>
      <c r="V25" s="445"/>
      <c r="W25" s="445"/>
      <c r="X25" s="445"/>
      <c r="Y25" s="445"/>
    </row>
    <row r="26" spans="2:25" ht="31.5" customHeight="1" x14ac:dyDescent="0.25">
      <c r="B26" s="19"/>
      <c r="C26" s="464"/>
      <c r="D26" s="465"/>
      <c r="E26" s="465"/>
      <c r="F26" s="465"/>
      <c r="G26" s="465"/>
      <c r="H26" s="465"/>
      <c r="I26" s="465"/>
      <c r="J26" s="465"/>
      <c r="K26" s="465"/>
      <c r="L26" s="465"/>
      <c r="M26" s="466"/>
      <c r="N26" s="22"/>
    </row>
    <row r="27" spans="2:25" ht="31.5" customHeight="1" x14ac:dyDescent="0.25">
      <c r="B27" s="19"/>
      <c r="C27" s="467"/>
      <c r="D27" s="468"/>
      <c r="E27" s="468"/>
      <c r="F27" s="468"/>
      <c r="G27" s="468"/>
      <c r="H27" s="468"/>
      <c r="I27" s="468"/>
      <c r="J27" s="468"/>
      <c r="K27" s="468"/>
      <c r="L27" s="468"/>
      <c r="M27" s="469"/>
      <c r="N27" s="22"/>
    </row>
    <row r="28" spans="2:25" ht="31.5" customHeight="1" x14ac:dyDescent="0.25">
      <c r="B28" s="19"/>
      <c r="C28" s="470"/>
      <c r="D28" s="471"/>
      <c r="E28" s="471"/>
      <c r="F28" s="471"/>
      <c r="G28" s="471"/>
      <c r="H28" s="471"/>
      <c r="I28" s="471"/>
      <c r="J28" s="471"/>
      <c r="K28" s="471"/>
      <c r="L28" s="471"/>
      <c r="M28" s="472"/>
      <c r="N28" s="22"/>
    </row>
    <row r="29" spans="2:25" ht="31.5" customHeight="1" x14ac:dyDescent="0.25">
      <c r="B29" s="19"/>
      <c r="C29" s="20"/>
      <c r="D29" s="20"/>
      <c r="E29" s="20"/>
      <c r="F29" s="20"/>
      <c r="G29" s="20"/>
      <c r="H29" s="20"/>
      <c r="I29" s="25"/>
      <c r="J29" s="20"/>
      <c r="K29" s="32"/>
      <c r="L29" s="20"/>
      <c r="M29" s="20"/>
      <c r="N29" s="22"/>
    </row>
    <row r="30" spans="2:25" x14ac:dyDescent="0.25">
      <c r="B30" s="19"/>
      <c r="C30" s="452" t="s">
        <v>381</v>
      </c>
      <c r="D30" s="453"/>
      <c r="E30" s="453"/>
      <c r="F30" s="453"/>
      <c r="G30" s="454"/>
      <c r="H30" s="125"/>
      <c r="I30" s="452" t="s">
        <v>279</v>
      </c>
      <c r="J30" s="453"/>
      <c r="K30" s="453"/>
      <c r="L30" s="453"/>
      <c r="M30" s="454"/>
      <c r="N30" s="22"/>
      <c r="R30" s="455"/>
      <c r="S30" s="455"/>
      <c r="T30" s="455"/>
      <c r="U30" s="455"/>
    </row>
    <row r="31" spans="2:25" ht="45.75" customHeight="1" x14ac:dyDescent="0.25">
      <c r="B31" s="19"/>
      <c r="C31" s="456" t="s">
        <v>483</v>
      </c>
      <c r="D31" s="457"/>
      <c r="E31" s="457"/>
      <c r="F31" s="457"/>
      <c r="G31" s="80"/>
      <c r="H31" s="20"/>
      <c r="I31" s="460" t="s">
        <v>280</v>
      </c>
      <c r="J31" s="461"/>
      <c r="K31" s="461"/>
      <c r="L31" s="461"/>
      <c r="M31" s="80"/>
      <c r="N31" s="22"/>
      <c r="R31" s="37"/>
      <c r="S31" s="37"/>
      <c r="T31" s="37"/>
      <c r="U31" s="37"/>
    </row>
    <row r="32" spans="2:25" ht="37.5" customHeight="1" x14ac:dyDescent="0.25">
      <c r="B32" s="19"/>
      <c r="C32" s="458"/>
      <c r="D32" s="459"/>
      <c r="E32" s="459"/>
      <c r="F32" s="459"/>
      <c r="G32" s="310" t="s">
        <v>484</v>
      </c>
      <c r="H32" s="20"/>
      <c r="I32" s="462"/>
      <c r="J32" s="462"/>
      <c r="K32" s="462"/>
      <c r="L32" s="462"/>
      <c r="M32" s="462"/>
      <c r="N32" s="22"/>
      <c r="U32" s="445"/>
      <c r="V32" s="445"/>
      <c r="W32" s="445"/>
      <c r="X32" s="445"/>
      <c r="Y32" s="445"/>
    </row>
    <row r="33" spans="2:14" ht="15" customHeight="1" x14ac:dyDescent="0.25">
      <c r="B33" s="24"/>
      <c r="C33" s="20"/>
      <c r="D33" s="20"/>
      <c r="E33" s="20"/>
      <c r="F33" s="20"/>
      <c r="G33" s="20"/>
      <c r="H33" s="25"/>
      <c r="I33" s="20"/>
      <c r="J33" s="20"/>
      <c r="K33" s="32"/>
      <c r="L33" s="20"/>
      <c r="M33" s="20"/>
      <c r="N33" s="22"/>
    </row>
    <row r="34" spans="2:14" ht="27.75" customHeight="1" thickBot="1" x14ac:dyDescent="0.3">
      <c r="B34" s="26"/>
      <c r="C34" s="27"/>
      <c r="D34" s="27"/>
      <c r="E34" s="27"/>
      <c r="F34" s="27"/>
      <c r="G34" s="27"/>
      <c r="H34" s="27"/>
      <c r="I34" s="27"/>
      <c r="J34" s="27"/>
      <c r="K34" s="28"/>
      <c r="L34" s="27"/>
      <c r="M34" s="27"/>
      <c r="N34" s="29"/>
    </row>
  </sheetData>
  <sheetProtection algorithmName="SHA-512" hashValue="hPcExhp9lF9ReVLFzTOEYkTK68cUX8YUELxmVHGxyHgb1kkcxig/GTxJFbl6dV5OLS+/6irSzPk9HyO7isG63w==" saltValue="OSZ/F/2ASRu6jFP6PPK4vQ==" spinCount="100000" sheet="1" objects="1" scenarios="1"/>
  <mergeCells count="31">
    <mergeCell ref="L12:M12"/>
    <mergeCell ref="J12:K12"/>
    <mergeCell ref="J14:K14"/>
    <mergeCell ref="J15:K15"/>
    <mergeCell ref="C26:M28"/>
    <mergeCell ref="C22:D22"/>
    <mergeCell ref="C30:G30"/>
    <mergeCell ref="I30:M30"/>
    <mergeCell ref="R30:U30"/>
    <mergeCell ref="C31:F32"/>
    <mergeCell ref="I31:L31"/>
    <mergeCell ref="I32:M32"/>
    <mergeCell ref="U32:Y32"/>
    <mergeCell ref="U22:Y25"/>
    <mergeCell ref="C25:M25"/>
    <mergeCell ref="C13:G13"/>
    <mergeCell ref="J13:K13"/>
    <mergeCell ref="J16:K16"/>
    <mergeCell ref="D4:I7"/>
    <mergeCell ref="D8:I8"/>
    <mergeCell ref="C9:D9"/>
    <mergeCell ref="E9:H9"/>
    <mergeCell ref="C19:K21"/>
    <mergeCell ref="J11:K11"/>
    <mergeCell ref="J9:K9"/>
    <mergeCell ref="L9:M9"/>
    <mergeCell ref="C10:D10"/>
    <mergeCell ref="E10:H10"/>
    <mergeCell ref="C11:D11"/>
    <mergeCell ref="E11:H11"/>
    <mergeCell ref="L11:M11"/>
  </mergeCells>
  <conditionalFormatting sqref="G31">
    <cfRule type="cellIs" dxfId="28" priority="5" operator="equal">
      <formula>"No"</formula>
    </cfRule>
    <cfRule type="cellIs" dxfId="27" priority="6" operator="equal">
      <formula>"Yes"</formula>
    </cfRule>
  </conditionalFormatting>
  <conditionalFormatting sqref="M31">
    <cfRule type="cellIs" dxfId="26" priority="1" operator="equal">
      <formula>"No"</formula>
    </cfRule>
    <cfRule type="cellIs" dxfId="25" priority="2" operator="equal">
      <formula>"Yes"</formula>
    </cfRule>
  </conditionalFormatting>
  <hyperlinks>
    <hyperlink ref="G32" r:id="rId1" xr:uid="{00000000-0004-0000-0600-000000000000}"/>
  </hyperlinks>
  <pageMargins left="0.7" right="0.7" top="0.75" bottom="0.75" header="0.3" footer="0.3"/>
  <pageSetup paperSize="9" orientation="portrait" horizontalDpi="203" verticalDpi="203" r:id="rId2"/>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600-000001000000}">
          <x14:formula1>
            <xm:f>Picklists!$B$3:$B$4</xm:f>
          </x14:formula1>
          <xm:sqref>G31 M31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7B29E-B974-4BBC-94F2-2A77B07C6515}">
  <sheetPr>
    <tabColor theme="9" tint="0.59996337778862885"/>
  </sheetPr>
  <dimension ref="B1:Z40"/>
  <sheetViews>
    <sheetView workbookViewId="0">
      <selection activeCell="B3" sqref="B3:O3"/>
    </sheetView>
  </sheetViews>
  <sheetFormatPr defaultRowHeight="15" x14ac:dyDescent="0.25"/>
  <cols>
    <col min="2" max="2" width="9.140625" customWidth="1"/>
    <col min="3" max="3" width="15.7109375" customWidth="1"/>
    <col min="4" max="4" width="38.85546875" customWidth="1"/>
    <col min="5" max="5" width="30.5703125" customWidth="1"/>
    <col min="6" max="6" width="16.42578125" customWidth="1"/>
    <col min="7" max="7" width="13.85546875" customWidth="1"/>
    <col min="8" max="8" width="13" style="5" customWidth="1"/>
    <col min="9" max="9" width="16.42578125" style="5" customWidth="1"/>
    <col min="10" max="10" width="17.7109375" customWidth="1"/>
    <col min="11" max="11" width="9.140625" customWidth="1"/>
    <col min="12" max="12" width="10.28515625" customWidth="1"/>
    <col min="13" max="13" width="9.140625" hidden="1" customWidth="1"/>
    <col min="14" max="14" width="13.28515625" customWidth="1"/>
    <col min="15" max="15" width="12.85546875" customWidth="1"/>
    <col min="16" max="16" width="14.7109375" customWidth="1"/>
    <col min="17" max="22" width="16.5703125" hidden="1" customWidth="1"/>
    <col min="23" max="23" width="14.7109375" hidden="1" customWidth="1"/>
    <col min="24" max="25" width="9.140625" hidden="1" customWidth="1"/>
    <col min="26" max="27" width="9.140625" customWidth="1"/>
  </cols>
  <sheetData>
    <row r="1" spans="2:26" ht="15.75" thickBot="1" x14ac:dyDescent="0.3"/>
    <row r="2" spans="2:26" ht="15.75" thickBot="1" x14ac:dyDescent="0.3">
      <c r="B2" s="289" t="s">
        <v>452</v>
      </c>
      <c r="C2" s="290" t="str">
        <f>Amrwymiadau!D2</f>
        <v>SRoC CNC f2 2024-25</v>
      </c>
      <c r="D2" s="257"/>
      <c r="E2" s="258"/>
      <c r="M2" s="395" t="s">
        <v>500</v>
      </c>
      <c r="N2" s="396"/>
      <c r="Q2" s="395" t="s">
        <v>500</v>
      </c>
      <c r="R2" s="395"/>
      <c r="S2" s="395"/>
      <c r="T2" s="395"/>
      <c r="U2" s="395"/>
      <c r="V2" s="395"/>
      <c r="W2" s="395"/>
      <c r="X2" s="395"/>
      <c r="Y2" s="395"/>
    </row>
    <row r="3" spans="2:26" ht="29.25" customHeight="1" thickBot="1" x14ac:dyDescent="0.3">
      <c r="B3" s="479" t="s">
        <v>281</v>
      </c>
      <c r="C3" s="480"/>
      <c r="D3" s="480"/>
      <c r="E3" s="480"/>
      <c r="F3" s="480"/>
      <c r="G3" s="480"/>
      <c r="H3" s="480"/>
      <c r="I3" s="480"/>
      <c r="J3" s="480"/>
      <c r="K3" s="480"/>
      <c r="L3" s="480"/>
      <c r="M3" s="480"/>
      <c r="N3" s="480"/>
      <c r="O3" s="481"/>
      <c r="P3" s="126"/>
      <c r="Q3" s="127"/>
      <c r="R3" s="127"/>
      <c r="S3" s="127"/>
      <c r="T3" s="127"/>
      <c r="U3" s="127"/>
      <c r="V3" s="127"/>
      <c r="W3" s="127"/>
      <c r="X3" s="127"/>
      <c r="Y3" s="127"/>
      <c r="Z3" s="128"/>
    </row>
    <row r="4" spans="2:26" x14ac:dyDescent="0.25">
      <c r="B4" s="19"/>
      <c r="C4" s="20"/>
      <c r="D4" s="20"/>
      <c r="E4" s="475" t="s">
        <v>237</v>
      </c>
      <c r="F4" s="488" t="s">
        <v>189</v>
      </c>
      <c r="G4" s="488" t="s">
        <v>236</v>
      </c>
      <c r="H4" s="58"/>
      <c r="I4" s="475" t="s">
        <v>301</v>
      </c>
      <c r="J4" s="475" t="s">
        <v>308</v>
      </c>
      <c r="K4" s="20"/>
      <c r="L4" s="20"/>
      <c r="M4" s="20"/>
      <c r="N4" s="482" t="s">
        <v>287</v>
      </c>
      <c r="O4" s="483"/>
      <c r="P4" s="20"/>
      <c r="Q4" s="66"/>
      <c r="R4" s="66"/>
      <c r="S4" s="66"/>
      <c r="T4" s="66"/>
      <c r="U4" s="66"/>
      <c r="V4" s="66"/>
      <c r="W4" s="20"/>
      <c r="X4" s="20"/>
      <c r="Y4" s="20"/>
      <c r="Z4" s="22"/>
    </row>
    <row r="5" spans="2:26" x14ac:dyDescent="0.25">
      <c r="B5" s="19"/>
      <c r="C5" s="291" t="s">
        <v>422</v>
      </c>
      <c r="D5" s="129">
        <f>Cyflwyniad!E10</f>
        <v>0</v>
      </c>
      <c r="E5" s="491"/>
      <c r="F5" s="489"/>
      <c r="G5" s="489"/>
      <c r="H5" s="67"/>
      <c r="I5" s="491"/>
      <c r="J5" s="476"/>
      <c r="K5" s="20"/>
      <c r="L5" s="20"/>
      <c r="M5" s="20"/>
      <c r="N5" s="484"/>
      <c r="O5" s="483"/>
      <c r="P5" s="20"/>
      <c r="Q5" s="66"/>
      <c r="R5" s="66"/>
      <c r="S5" s="66"/>
      <c r="T5" s="66"/>
      <c r="U5" s="66"/>
      <c r="V5" s="66"/>
      <c r="W5" s="20"/>
      <c r="X5" s="20"/>
      <c r="Y5" s="20"/>
      <c r="Z5" s="22"/>
    </row>
    <row r="6" spans="2:26" ht="15" customHeight="1" x14ac:dyDescent="0.25">
      <c r="B6" s="19"/>
      <c r="C6" s="291" t="s">
        <v>313</v>
      </c>
      <c r="D6" s="129">
        <f>Cyflwyniad!L9</f>
        <v>0</v>
      </c>
      <c r="E6" s="491"/>
      <c r="F6" s="489"/>
      <c r="G6" s="489"/>
      <c r="H6" s="58"/>
      <c r="I6" s="491"/>
      <c r="J6" s="476"/>
      <c r="K6" s="20"/>
      <c r="L6" s="20"/>
      <c r="M6" s="20"/>
      <c r="N6" s="484"/>
      <c r="O6" s="483"/>
      <c r="P6" s="20"/>
      <c r="Q6" s="66"/>
      <c r="R6" s="66"/>
      <c r="S6" s="66"/>
      <c r="T6" s="66"/>
      <c r="U6" s="66"/>
      <c r="V6" s="66">
        <f>COUNTIF(V9:V33,"yes")</f>
        <v>0</v>
      </c>
      <c r="W6" s="20"/>
      <c r="X6" s="20"/>
      <c r="Y6" s="20"/>
      <c r="Z6" s="22"/>
    </row>
    <row r="7" spans="2:26" ht="42" customHeight="1" x14ac:dyDescent="0.25">
      <c r="B7" s="19"/>
      <c r="C7" s="20"/>
      <c r="D7" s="20"/>
      <c r="E7" s="492"/>
      <c r="F7" s="490"/>
      <c r="G7" s="490"/>
      <c r="H7" s="20"/>
      <c r="I7" s="492"/>
      <c r="J7" s="477"/>
      <c r="K7" s="20"/>
      <c r="L7" s="20"/>
      <c r="M7" s="20"/>
      <c r="N7" s="485"/>
      <c r="O7" s="486"/>
      <c r="P7" s="20"/>
      <c r="Q7" s="130" t="str">
        <f>IF(OR(Q9="incomplete",Q10="incomplete",Q11="incomplete",Q12="incomplete",Q13="incomplete",Q14="incomplete",Q15="incomplete",Q16="incomplete",Q17="incomplete",Q18="incomplete",Q19="incomplete",Q20="incomplete",Q21="incomplete",Q22="incomplete",Q23="incomplete",Q24="incomplete",Q25="incomplete",Q26="incomplete",Q27="incomplete",Q28="incomplete",Q29="incomplete",Q30="incomplete",Q31="incomplete",Q32="incomplete",Q33="incomplete"),"incomplete","complete")</f>
        <v>complete</v>
      </c>
      <c r="R7" s="130" t="str">
        <f>IF(OR(R9="incomplete",R10="incomplete",R11="incomplete",R12="incomplete",R13="incomplete",R14="incomplete",R15="incomplete",R16="incomplete",R17="incomplete",R18="incomplete",R19="incomplete",R20="incomplete",R21="incomplete",R22="incomplete",R23="incomplete",R24="incomplete",R25="incomplete",R26="incomplete",R27="incomplete",R28="incomplete",R29="incomplete",R30="incomplete",R31="incomplete",R32="incomplete",R33="incomplete"),"incomplete","complete")</f>
        <v>complete</v>
      </c>
      <c r="S7" s="130" t="str">
        <f>IF(OR(S9="incomplete",S10="incomplete",S11="incomplete",S12="incomplete",S13="incomplete",S14="incomplete",S15="incomplete",S16="incomplete",S17="incomplete",S18="incomplete",S19="incomplete",S20="incomplete",S21="incomplete",S22="incomplete",S23="incomplete",S24="incomplete",S25="incomplete",S26="incomplete",S27="incomplete",S28="incomplete",S29="incomplete",S30="incomplete",S31="incomplete",S32="incomplete",S33="incomplete"),"incomplete","complete")</f>
        <v>complete</v>
      </c>
      <c r="T7" s="130"/>
      <c r="U7" s="130"/>
      <c r="V7" s="130"/>
      <c r="W7" s="20"/>
      <c r="X7" s="131">
        <f>_xlfn.MAXIFS(X9:X33,X9:X33,"&lt;&gt;")</f>
        <v>0</v>
      </c>
      <c r="Y7" s="20"/>
      <c r="Z7" s="22"/>
    </row>
    <row r="8" spans="2:26" ht="76.5" customHeight="1" x14ac:dyDescent="0.25">
      <c r="B8" s="19"/>
      <c r="C8" s="68"/>
      <c r="D8" s="311" t="s">
        <v>2</v>
      </c>
      <c r="E8" s="311" t="s">
        <v>262</v>
      </c>
      <c r="F8" s="311" t="s">
        <v>433</v>
      </c>
      <c r="G8" s="311" t="s">
        <v>235</v>
      </c>
      <c r="H8" s="311" t="s">
        <v>434</v>
      </c>
      <c r="I8" s="311" t="s">
        <v>302</v>
      </c>
      <c r="J8" s="311" t="s">
        <v>263</v>
      </c>
      <c r="K8" s="333" t="s">
        <v>432</v>
      </c>
      <c r="L8" s="334" t="s">
        <v>501</v>
      </c>
      <c r="M8" s="99"/>
      <c r="N8" s="335" t="s">
        <v>485</v>
      </c>
      <c r="O8" s="336" t="s">
        <v>392</v>
      </c>
      <c r="P8" s="337" t="s">
        <v>502</v>
      </c>
      <c r="Q8" s="312" t="s">
        <v>309</v>
      </c>
      <c r="R8" s="312" t="s">
        <v>310</v>
      </c>
      <c r="S8" s="312" t="s">
        <v>311</v>
      </c>
      <c r="T8" s="66"/>
      <c r="U8" s="312" t="s">
        <v>277</v>
      </c>
      <c r="V8" s="338" t="s">
        <v>273</v>
      </c>
      <c r="W8" s="302" t="s">
        <v>278</v>
      </c>
      <c r="X8" s="339" t="s">
        <v>303</v>
      </c>
      <c r="Y8" s="20"/>
      <c r="Z8" s="22"/>
    </row>
    <row r="9" spans="2:26" ht="20.100000000000001" customHeight="1" x14ac:dyDescent="0.25">
      <c r="B9" s="70"/>
      <c r="C9" s="71">
        <v>1</v>
      </c>
      <c r="D9" s="60"/>
      <c r="E9" s="81"/>
      <c r="F9" s="81"/>
      <c r="G9" s="81"/>
      <c r="H9" s="72" t="str">
        <f>IFERROR(VLOOKUP(E9,Picklists!$D$3:$H$105,3,FALSE),"")</f>
        <v/>
      </c>
      <c r="I9" s="147"/>
      <c r="J9" s="62"/>
      <c r="K9" s="72" t="str">
        <f>IFERROR(VLOOKUP(E9,Picklists!$D$3:$I$107,4,FALSE),"")</f>
        <v/>
      </c>
      <c r="L9" s="72" t="str">
        <f>IFERROR(VLOOKUP(E9,Picklists!$D$3:$I$107,5,FALSE),"")</f>
        <v/>
      </c>
      <c r="M9" s="72" t="str">
        <f>IF(L9=0,"",L9)</f>
        <v/>
      </c>
      <c r="N9" s="72" t="str">
        <f>IFERROR(VLOOKUP(E9,Picklists!$D$3:$I$107,6,FALSE),"")</f>
        <v/>
      </c>
      <c r="O9" s="132" t="str">
        <f t="shared" ref="O9:O33" si="0">IF(AND(F9="YES",N9="YES"),"YES","")</f>
        <v/>
      </c>
      <c r="P9" s="72" t="str">
        <f>IF(AND(I9=0,L9=0),1,"")</f>
        <v/>
      </c>
      <c r="Q9" s="133" t="str">
        <f>IF(AND(D9="",E9&gt;0),"incomplete","")</f>
        <v/>
      </c>
      <c r="R9" s="133" t="str">
        <f>IF(AND(E9&gt;0,G9=""),"incomplete","")</f>
        <v/>
      </c>
      <c r="S9" s="134" t="str">
        <f>IF(AND(G9="",E9="",F9=""),"complete",IF(AND(G9="yes",U9&gt;0),"complete",IF(AND(I9&gt;0,J9&gt;0),"complete","Incomplete")))</f>
        <v>complete</v>
      </c>
      <c r="T9" s="134"/>
      <c r="U9" s="134">
        <f t="shared" ref="U9:U33" si="1">+J9-I9</f>
        <v>0</v>
      </c>
      <c r="V9" s="134" t="str">
        <f>IF(AND(H9&gt;0,U9&gt;H9),"Yes","")</f>
        <v/>
      </c>
      <c r="W9" s="135" t="str">
        <f t="shared" ref="W9:W19" si="2">IFERROR(+U9/H9,"")</f>
        <v/>
      </c>
      <c r="X9" s="135" t="str">
        <f t="shared" ref="X9:X33" si="3">IFERROR(+U9/I9,"")</f>
        <v/>
      </c>
      <c r="Y9" s="20"/>
      <c r="Z9" s="22"/>
    </row>
    <row r="10" spans="2:26" ht="20.100000000000001" customHeight="1" x14ac:dyDescent="0.25">
      <c r="B10" s="70"/>
      <c r="C10" s="71">
        <v>2</v>
      </c>
      <c r="D10" s="60"/>
      <c r="E10" s="81"/>
      <c r="F10" s="81"/>
      <c r="G10" s="81"/>
      <c r="H10" s="72" t="str">
        <f>IFERROR(VLOOKUP(E10,Picklists!$D$3:$H$105,3,FALSE),"")</f>
        <v/>
      </c>
      <c r="I10" s="147"/>
      <c r="J10" s="62"/>
      <c r="K10" s="72" t="str">
        <f>IFERROR(VLOOKUP(E10,Picklists!$D$3:$I$107,4,FALSE),"")</f>
        <v/>
      </c>
      <c r="L10" s="72" t="str">
        <f>IFERROR(VLOOKUP(E10,Picklists!$D$3:$I$107,5,FALSE),"")</f>
        <v/>
      </c>
      <c r="M10" s="72" t="str">
        <f t="shared" ref="M10:M33" si="4">IF(L10=0,"",L10)</f>
        <v/>
      </c>
      <c r="N10" s="72" t="str">
        <f>IFERROR(VLOOKUP(E10,Picklists!$D$3:$I$107,6,FALSE),"")</f>
        <v/>
      </c>
      <c r="O10" s="132" t="str">
        <f t="shared" si="0"/>
        <v/>
      </c>
      <c r="P10" s="72" t="str">
        <f t="shared" ref="P10:P33" si="5">IF(AND(I10=0,L10=0),1,"")</f>
        <v/>
      </c>
      <c r="Q10" s="133" t="str">
        <f t="shared" ref="Q10:Q32" si="6">IF(AND(D10="",E10&gt;0),"incomplete","")</f>
        <v/>
      </c>
      <c r="R10" s="133" t="str">
        <f t="shared" ref="R10:R33" si="7">IF(AND(E10&gt;0,G10=""),"incomplete","")</f>
        <v/>
      </c>
      <c r="S10" s="134" t="str">
        <f t="shared" ref="S10:S33" si="8">IF(AND(G10="",E10="",F10=""),"complete",IF(AND(G10="yes",U10&gt;0),"complete",IF(AND(D10&gt;0,E10&gt;0,F10&gt;0,G10&gt;0,I10&gt;0,J10&gt;0),"complete","Incomplete")))</f>
        <v>complete</v>
      </c>
      <c r="T10" s="134"/>
      <c r="U10" s="134">
        <f t="shared" si="1"/>
        <v>0</v>
      </c>
      <c r="V10" s="134" t="str">
        <f t="shared" ref="V10:V33" si="9">IF(AND(H10&gt;0,U10&gt;H10),"Yes","")</f>
        <v/>
      </c>
      <c r="W10" s="135" t="str">
        <f t="shared" si="2"/>
        <v/>
      </c>
      <c r="X10" s="135" t="str">
        <f>IFERROR(+U10/I10,"")</f>
        <v/>
      </c>
      <c r="Y10" s="20"/>
      <c r="Z10" s="22"/>
    </row>
    <row r="11" spans="2:26" ht="20.100000000000001" customHeight="1" x14ac:dyDescent="0.25">
      <c r="B11" s="70"/>
      <c r="C11" s="71">
        <v>3</v>
      </c>
      <c r="D11" s="143"/>
      <c r="E11" s="81"/>
      <c r="F11" s="81"/>
      <c r="G11" s="81"/>
      <c r="H11" s="72" t="str">
        <f>IFERROR(VLOOKUP(E11,Picklists!$D$3:$H$105,3,FALSE),"")</f>
        <v/>
      </c>
      <c r="I11" s="147"/>
      <c r="J11" s="62"/>
      <c r="K11" s="72" t="str">
        <f>IFERROR(VLOOKUP(E11,Picklists!$D$3:$I$107,4,FALSE),"")</f>
        <v/>
      </c>
      <c r="L11" s="72" t="str">
        <f>IFERROR(VLOOKUP(E11,Picklists!$D$3:$I$107,5,FALSE),"")</f>
        <v/>
      </c>
      <c r="M11" s="72" t="str">
        <f t="shared" si="4"/>
        <v/>
      </c>
      <c r="N11" s="72" t="str">
        <f>IFERROR(VLOOKUP(E11,Picklists!$D$3:$I$107,6,FALSE),"")</f>
        <v/>
      </c>
      <c r="O11" s="132" t="str">
        <f t="shared" si="0"/>
        <v/>
      </c>
      <c r="P11" s="72" t="str">
        <f t="shared" si="5"/>
        <v/>
      </c>
      <c r="Q11" s="133" t="str">
        <f t="shared" si="6"/>
        <v/>
      </c>
      <c r="R11" s="133" t="str">
        <f t="shared" si="7"/>
        <v/>
      </c>
      <c r="S11" s="134" t="str">
        <f t="shared" si="8"/>
        <v>complete</v>
      </c>
      <c r="T11" s="134"/>
      <c r="U11" s="134">
        <f t="shared" si="1"/>
        <v>0</v>
      </c>
      <c r="V11" s="134" t="str">
        <f t="shared" si="9"/>
        <v/>
      </c>
      <c r="W11" s="135" t="str">
        <f t="shared" si="2"/>
        <v/>
      </c>
      <c r="X11" s="135" t="str">
        <f t="shared" si="3"/>
        <v/>
      </c>
      <c r="Y11" s="20"/>
      <c r="Z11" s="22"/>
    </row>
    <row r="12" spans="2:26" ht="20.100000000000001" customHeight="1" x14ac:dyDescent="0.25">
      <c r="B12" s="70"/>
      <c r="C12" s="71">
        <v>4</v>
      </c>
      <c r="D12" s="64"/>
      <c r="E12" s="81"/>
      <c r="F12" s="81"/>
      <c r="G12" s="81"/>
      <c r="H12" s="72" t="str">
        <f>IFERROR(VLOOKUP(E12,Picklists!$D$3:$H$105,3,FALSE),"")</f>
        <v/>
      </c>
      <c r="I12" s="147"/>
      <c r="J12" s="62"/>
      <c r="K12" s="72" t="str">
        <f>IFERROR(VLOOKUP(E12,Picklists!$D$3:$I$107,4,FALSE),"")</f>
        <v/>
      </c>
      <c r="L12" s="72" t="str">
        <f>IFERROR(VLOOKUP(E12,Picklists!$D$3:$I$107,5,FALSE),"")</f>
        <v/>
      </c>
      <c r="M12" s="72" t="str">
        <f t="shared" si="4"/>
        <v/>
      </c>
      <c r="N12" s="72" t="str">
        <f>IFERROR(VLOOKUP(E12,Picklists!$D$3:$I$107,6,FALSE),"")</f>
        <v/>
      </c>
      <c r="O12" s="132" t="str">
        <f t="shared" si="0"/>
        <v/>
      </c>
      <c r="P12" s="72" t="str">
        <f t="shared" si="5"/>
        <v/>
      </c>
      <c r="Q12" s="133" t="str">
        <f t="shared" si="6"/>
        <v/>
      </c>
      <c r="R12" s="133" t="str">
        <f t="shared" si="7"/>
        <v/>
      </c>
      <c r="S12" s="134" t="str">
        <f t="shared" si="8"/>
        <v>complete</v>
      </c>
      <c r="T12" s="134"/>
      <c r="U12" s="134">
        <f t="shared" si="1"/>
        <v>0</v>
      </c>
      <c r="V12" s="134" t="str">
        <f t="shared" si="9"/>
        <v/>
      </c>
      <c r="W12" s="135" t="str">
        <f t="shared" si="2"/>
        <v/>
      </c>
      <c r="X12" s="135" t="str">
        <f t="shared" si="3"/>
        <v/>
      </c>
      <c r="Y12" s="20"/>
      <c r="Z12" s="22"/>
    </row>
    <row r="13" spans="2:26" ht="20.100000000000001" customHeight="1" x14ac:dyDescent="0.25">
      <c r="B13" s="70"/>
      <c r="C13" s="71">
        <v>5</v>
      </c>
      <c r="D13" s="60"/>
      <c r="E13" s="81"/>
      <c r="F13" s="81"/>
      <c r="G13" s="81"/>
      <c r="H13" s="72" t="str">
        <f>IFERROR(VLOOKUP(E13,Picklists!$D$3:$H$105,3,FALSE),"")</f>
        <v/>
      </c>
      <c r="I13" s="147"/>
      <c r="J13" s="62"/>
      <c r="K13" s="72" t="str">
        <f>IFERROR(VLOOKUP(E13,Picklists!$D$3:$I$107,4,FALSE),"")</f>
        <v/>
      </c>
      <c r="L13" s="72" t="str">
        <f>IFERROR(VLOOKUP(E13,Picklists!$D$3:$I$107,5,FALSE),"")</f>
        <v/>
      </c>
      <c r="M13" s="72" t="str">
        <f t="shared" si="4"/>
        <v/>
      </c>
      <c r="N13" s="72" t="str">
        <f>IFERROR(VLOOKUP(E13,Picklists!$D$3:$I$107,6,FALSE),"")</f>
        <v/>
      </c>
      <c r="O13" s="132" t="str">
        <f t="shared" si="0"/>
        <v/>
      </c>
      <c r="P13" s="72" t="str">
        <f t="shared" si="5"/>
        <v/>
      </c>
      <c r="Q13" s="133" t="str">
        <f t="shared" si="6"/>
        <v/>
      </c>
      <c r="R13" s="133" t="str">
        <f t="shared" si="7"/>
        <v/>
      </c>
      <c r="S13" s="134" t="str">
        <f t="shared" si="8"/>
        <v>complete</v>
      </c>
      <c r="T13" s="134"/>
      <c r="U13" s="134">
        <f t="shared" si="1"/>
        <v>0</v>
      </c>
      <c r="V13" s="134" t="str">
        <f t="shared" si="9"/>
        <v/>
      </c>
      <c r="W13" s="135" t="str">
        <f t="shared" si="2"/>
        <v/>
      </c>
      <c r="X13" s="135" t="str">
        <f t="shared" si="3"/>
        <v/>
      </c>
      <c r="Y13" s="20"/>
      <c r="Z13" s="22"/>
    </row>
    <row r="14" spans="2:26" ht="20.100000000000001" customHeight="1" x14ac:dyDescent="0.25">
      <c r="B14" s="70"/>
      <c r="C14" s="71">
        <v>6</v>
      </c>
      <c r="D14" s="60"/>
      <c r="E14" s="82"/>
      <c r="F14" s="81"/>
      <c r="G14" s="81"/>
      <c r="H14" s="72" t="str">
        <f>IFERROR(VLOOKUP(E14,Picklists!$D$3:$H$105,3,FALSE),"")</f>
        <v/>
      </c>
      <c r="I14" s="147"/>
      <c r="J14" s="62"/>
      <c r="K14" s="72" t="str">
        <f>IFERROR(VLOOKUP(E14,Picklists!$D$3:$I$107,4,FALSE),"")</f>
        <v/>
      </c>
      <c r="L14" s="72" t="str">
        <f>IFERROR(VLOOKUP(E14,Picklists!$D$3:$I$107,5,FALSE),"")</f>
        <v/>
      </c>
      <c r="M14" s="72" t="str">
        <f t="shared" si="4"/>
        <v/>
      </c>
      <c r="N14" s="72" t="str">
        <f>IFERROR(VLOOKUP(E14,Picklists!$D$3:$I$107,6,FALSE),"")</f>
        <v/>
      </c>
      <c r="O14" s="132" t="str">
        <f t="shared" si="0"/>
        <v/>
      </c>
      <c r="P14" s="72" t="str">
        <f t="shared" si="5"/>
        <v/>
      </c>
      <c r="Q14" s="133" t="str">
        <f t="shared" si="6"/>
        <v/>
      </c>
      <c r="R14" s="133" t="str">
        <f t="shared" si="7"/>
        <v/>
      </c>
      <c r="S14" s="134" t="str">
        <f t="shared" si="8"/>
        <v>complete</v>
      </c>
      <c r="T14" s="134"/>
      <c r="U14" s="134">
        <f t="shared" si="1"/>
        <v>0</v>
      </c>
      <c r="V14" s="134" t="str">
        <f t="shared" si="9"/>
        <v/>
      </c>
      <c r="W14" s="135" t="str">
        <f t="shared" si="2"/>
        <v/>
      </c>
      <c r="X14" s="135" t="str">
        <f t="shared" si="3"/>
        <v/>
      </c>
      <c r="Y14" s="20"/>
      <c r="Z14" s="22"/>
    </row>
    <row r="15" spans="2:26" ht="20.100000000000001" customHeight="1" x14ac:dyDescent="0.25">
      <c r="B15" s="70"/>
      <c r="C15" s="71">
        <v>7</v>
      </c>
      <c r="D15" s="60"/>
      <c r="E15" s="82"/>
      <c r="F15" s="81"/>
      <c r="G15" s="81"/>
      <c r="H15" s="72" t="str">
        <f>IFERROR(VLOOKUP(E15,Picklists!$D$3:$H$105,3,FALSE),"")</f>
        <v/>
      </c>
      <c r="I15" s="147"/>
      <c r="J15" s="62"/>
      <c r="K15" s="72" t="str">
        <f>IFERROR(VLOOKUP(E15,Picklists!$D$3:$I$107,4,FALSE),"")</f>
        <v/>
      </c>
      <c r="L15" s="72" t="str">
        <f>IFERROR(VLOOKUP(E15,Picklists!$D$3:$I$107,5,FALSE),"")</f>
        <v/>
      </c>
      <c r="M15" s="72" t="str">
        <f t="shared" si="4"/>
        <v/>
      </c>
      <c r="N15" s="72" t="str">
        <f>IFERROR(VLOOKUP(E15,Picklists!$D$3:$I$107,6,FALSE),"")</f>
        <v/>
      </c>
      <c r="O15" s="132" t="str">
        <f t="shared" si="0"/>
        <v/>
      </c>
      <c r="P15" s="72" t="str">
        <f t="shared" si="5"/>
        <v/>
      </c>
      <c r="Q15" s="133" t="str">
        <f t="shared" si="6"/>
        <v/>
      </c>
      <c r="R15" s="133" t="str">
        <f t="shared" si="7"/>
        <v/>
      </c>
      <c r="S15" s="134" t="str">
        <f t="shared" si="8"/>
        <v>complete</v>
      </c>
      <c r="T15" s="134"/>
      <c r="U15" s="134">
        <f t="shared" si="1"/>
        <v>0</v>
      </c>
      <c r="V15" s="134" t="str">
        <f t="shared" si="9"/>
        <v/>
      </c>
      <c r="W15" s="136" t="str">
        <f t="shared" si="2"/>
        <v/>
      </c>
      <c r="X15" s="137" t="str">
        <f t="shared" si="3"/>
        <v/>
      </c>
      <c r="Y15" s="20"/>
      <c r="Z15" s="22"/>
    </row>
    <row r="16" spans="2:26" ht="20.100000000000001" customHeight="1" x14ac:dyDescent="0.25">
      <c r="B16" s="70"/>
      <c r="C16" s="71">
        <v>8</v>
      </c>
      <c r="D16" s="60"/>
      <c r="E16" s="82"/>
      <c r="F16" s="81"/>
      <c r="G16" s="81"/>
      <c r="H16" s="72" t="str">
        <f>IFERROR(VLOOKUP(E16,Picklists!$D$3:$H$105,3,FALSE),"")</f>
        <v/>
      </c>
      <c r="I16" s="147"/>
      <c r="J16" s="62"/>
      <c r="K16" s="72" t="str">
        <f>IFERROR(VLOOKUP(E16,Picklists!$D$3:$I$107,4,FALSE),"")</f>
        <v/>
      </c>
      <c r="L16" s="72" t="str">
        <f>IFERROR(VLOOKUP(E16,Picklists!$D$3:$I$107,5,FALSE),"")</f>
        <v/>
      </c>
      <c r="M16" s="72" t="str">
        <f t="shared" si="4"/>
        <v/>
      </c>
      <c r="N16" s="72" t="str">
        <f>IFERROR(VLOOKUP(E16,Picklists!$D$3:$I$107,6,FALSE),"")</f>
        <v/>
      </c>
      <c r="O16" s="132" t="str">
        <f t="shared" si="0"/>
        <v/>
      </c>
      <c r="P16" s="72" t="str">
        <f t="shared" si="5"/>
        <v/>
      </c>
      <c r="Q16" s="133" t="str">
        <f t="shared" si="6"/>
        <v/>
      </c>
      <c r="R16" s="133" t="str">
        <f t="shared" si="7"/>
        <v/>
      </c>
      <c r="S16" s="134" t="str">
        <f t="shared" si="8"/>
        <v>complete</v>
      </c>
      <c r="T16" s="134"/>
      <c r="U16" s="134">
        <f t="shared" si="1"/>
        <v>0</v>
      </c>
      <c r="V16" s="134" t="str">
        <f t="shared" si="9"/>
        <v/>
      </c>
      <c r="W16" s="136" t="str">
        <f t="shared" si="2"/>
        <v/>
      </c>
      <c r="X16" s="137" t="str">
        <f t="shared" si="3"/>
        <v/>
      </c>
      <c r="Y16" s="20"/>
      <c r="Z16" s="22"/>
    </row>
    <row r="17" spans="2:26" ht="20.100000000000001" customHeight="1" x14ac:dyDescent="0.25">
      <c r="B17" s="70"/>
      <c r="C17" s="71">
        <v>9</v>
      </c>
      <c r="D17" s="60"/>
      <c r="E17" s="82"/>
      <c r="F17" s="81"/>
      <c r="G17" s="81"/>
      <c r="H17" s="72" t="str">
        <f>IFERROR(VLOOKUP(E17,Picklists!$D$3:$H$105,3,FALSE),"")</f>
        <v/>
      </c>
      <c r="I17" s="147"/>
      <c r="J17" s="62"/>
      <c r="K17" s="72" t="str">
        <f>IFERROR(VLOOKUP(E17,Picklists!$D$3:$I$107,4,FALSE),"")</f>
        <v/>
      </c>
      <c r="L17" s="72" t="str">
        <f>IFERROR(VLOOKUP(E17,Picklists!$D$3:$I$107,5,FALSE),"")</f>
        <v/>
      </c>
      <c r="M17" s="72" t="str">
        <f t="shared" si="4"/>
        <v/>
      </c>
      <c r="N17" s="72" t="str">
        <f>IFERROR(VLOOKUP(E17,Picklists!$D$3:$I$107,6,FALSE),"")</f>
        <v/>
      </c>
      <c r="O17" s="132" t="str">
        <f t="shared" si="0"/>
        <v/>
      </c>
      <c r="P17" s="72" t="str">
        <f t="shared" si="5"/>
        <v/>
      </c>
      <c r="Q17" s="133" t="str">
        <f t="shared" si="6"/>
        <v/>
      </c>
      <c r="R17" s="133" t="str">
        <f t="shared" si="7"/>
        <v/>
      </c>
      <c r="S17" s="134" t="str">
        <f t="shared" si="8"/>
        <v>complete</v>
      </c>
      <c r="T17" s="134"/>
      <c r="U17" s="134">
        <f t="shared" si="1"/>
        <v>0</v>
      </c>
      <c r="V17" s="134" t="str">
        <f t="shared" si="9"/>
        <v/>
      </c>
      <c r="W17" s="136" t="str">
        <f t="shared" si="2"/>
        <v/>
      </c>
      <c r="X17" s="137" t="str">
        <f t="shared" si="3"/>
        <v/>
      </c>
      <c r="Y17" s="138"/>
      <c r="Z17" s="22"/>
    </row>
    <row r="18" spans="2:26" ht="20.100000000000001" customHeight="1" x14ac:dyDescent="0.25">
      <c r="B18" s="70"/>
      <c r="C18" s="71">
        <v>10</v>
      </c>
      <c r="D18" s="60"/>
      <c r="E18" s="82"/>
      <c r="F18" s="81"/>
      <c r="G18" s="81"/>
      <c r="H18" s="72" t="str">
        <f>IFERROR(VLOOKUP(E18,Picklists!$D$3:$H$105,3,FALSE),"")</f>
        <v/>
      </c>
      <c r="I18" s="147"/>
      <c r="J18" s="62"/>
      <c r="K18" s="72" t="str">
        <f>IFERROR(VLOOKUP(E18,Picklists!$D$3:$I$107,4,FALSE),"")</f>
        <v/>
      </c>
      <c r="L18" s="72" t="str">
        <f>IFERROR(VLOOKUP(E18,Picklists!$D$3:$I$107,5,FALSE),"")</f>
        <v/>
      </c>
      <c r="M18" s="72" t="str">
        <f t="shared" si="4"/>
        <v/>
      </c>
      <c r="N18" s="72" t="str">
        <f>IFERROR(VLOOKUP(E18,Picklists!$D$3:$I$107,6,FALSE),"")</f>
        <v/>
      </c>
      <c r="O18" s="132" t="str">
        <f t="shared" si="0"/>
        <v/>
      </c>
      <c r="P18" s="72" t="str">
        <f t="shared" si="5"/>
        <v/>
      </c>
      <c r="Q18" s="133" t="str">
        <f t="shared" si="6"/>
        <v/>
      </c>
      <c r="R18" s="133" t="str">
        <f t="shared" si="7"/>
        <v/>
      </c>
      <c r="S18" s="134" t="str">
        <f t="shared" si="8"/>
        <v>complete</v>
      </c>
      <c r="T18" s="134"/>
      <c r="U18" s="134">
        <f t="shared" si="1"/>
        <v>0</v>
      </c>
      <c r="V18" s="134" t="str">
        <f t="shared" si="9"/>
        <v/>
      </c>
      <c r="W18" s="136" t="str">
        <f t="shared" si="2"/>
        <v/>
      </c>
      <c r="X18" s="137" t="str">
        <f t="shared" si="3"/>
        <v/>
      </c>
      <c r="Y18" s="138"/>
      <c r="Z18" s="22"/>
    </row>
    <row r="19" spans="2:26" ht="20.100000000000001" customHeight="1" x14ac:dyDescent="0.25">
      <c r="B19" s="70"/>
      <c r="C19" s="71">
        <v>11</v>
      </c>
      <c r="D19" s="60"/>
      <c r="E19" s="82"/>
      <c r="F19" s="81"/>
      <c r="G19" s="81"/>
      <c r="H19" s="72" t="str">
        <f>IFERROR(VLOOKUP(E19,Picklists!$D$3:$H$105,3,FALSE),"")</f>
        <v/>
      </c>
      <c r="I19" s="147"/>
      <c r="J19" s="62"/>
      <c r="K19" s="72" t="str">
        <f>IFERROR(VLOOKUP(E19,Picklists!$D$3:$I$107,4,FALSE),"")</f>
        <v/>
      </c>
      <c r="L19" s="72" t="str">
        <f>IFERROR(VLOOKUP(E19,Picklists!$D$3:$I$107,5,FALSE),"")</f>
        <v/>
      </c>
      <c r="M19" s="72" t="str">
        <f t="shared" si="4"/>
        <v/>
      </c>
      <c r="N19" s="72" t="str">
        <f>IFERROR(VLOOKUP(E19,Picklists!$D$3:$I$107,6,FALSE),"")</f>
        <v/>
      </c>
      <c r="O19" s="132" t="str">
        <f t="shared" si="0"/>
        <v/>
      </c>
      <c r="P19" s="72" t="str">
        <f t="shared" si="5"/>
        <v/>
      </c>
      <c r="Q19" s="133" t="str">
        <f t="shared" si="6"/>
        <v/>
      </c>
      <c r="R19" s="133" t="str">
        <f t="shared" si="7"/>
        <v/>
      </c>
      <c r="S19" s="134" t="str">
        <f t="shared" si="8"/>
        <v>complete</v>
      </c>
      <c r="T19" s="134"/>
      <c r="U19" s="134">
        <f t="shared" si="1"/>
        <v>0</v>
      </c>
      <c r="V19" s="134" t="str">
        <f t="shared" si="9"/>
        <v/>
      </c>
      <c r="W19" s="136" t="str">
        <f t="shared" si="2"/>
        <v/>
      </c>
      <c r="X19" s="137" t="str">
        <f t="shared" si="3"/>
        <v/>
      </c>
      <c r="Y19" s="138"/>
      <c r="Z19" s="22"/>
    </row>
    <row r="20" spans="2:26" ht="20.100000000000001" customHeight="1" x14ac:dyDescent="0.25">
      <c r="B20" s="70"/>
      <c r="C20" s="71">
        <v>12</v>
      </c>
      <c r="D20" s="60"/>
      <c r="E20" s="82"/>
      <c r="F20" s="81"/>
      <c r="G20" s="81"/>
      <c r="H20" s="72" t="str">
        <f>IFERROR(VLOOKUP(E20,Picklists!$D$3:$H$105,3,FALSE),"")</f>
        <v/>
      </c>
      <c r="I20" s="147"/>
      <c r="J20" s="62"/>
      <c r="K20" s="72" t="str">
        <f>IFERROR(VLOOKUP(E20,Picklists!$D$3:$I$107,4,FALSE),"")</f>
        <v/>
      </c>
      <c r="L20" s="72" t="str">
        <f>IFERROR(VLOOKUP(E20,Picklists!$D$3:$I$107,5,FALSE),"")</f>
        <v/>
      </c>
      <c r="M20" s="72" t="str">
        <f t="shared" si="4"/>
        <v/>
      </c>
      <c r="N20" s="72" t="str">
        <f>IFERROR(VLOOKUP(E20,Picklists!$D$3:$I$107,6,FALSE),"")</f>
        <v/>
      </c>
      <c r="O20" s="132" t="str">
        <f t="shared" si="0"/>
        <v/>
      </c>
      <c r="P20" s="72" t="str">
        <f t="shared" si="5"/>
        <v/>
      </c>
      <c r="Q20" s="133" t="str">
        <f t="shared" si="6"/>
        <v/>
      </c>
      <c r="R20" s="133" t="str">
        <f t="shared" si="7"/>
        <v/>
      </c>
      <c r="S20" s="134" t="str">
        <f t="shared" si="8"/>
        <v>complete</v>
      </c>
      <c r="T20" s="134"/>
      <c r="U20" s="134">
        <f t="shared" si="1"/>
        <v>0</v>
      </c>
      <c r="V20" s="134" t="str">
        <f t="shared" si="9"/>
        <v/>
      </c>
      <c r="W20" s="136" t="str">
        <f t="shared" ref="W20:W33" si="10">IFERROR(+J20/H20,"")</f>
        <v/>
      </c>
      <c r="X20" s="137" t="str">
        <f t="shared" si="3"/>
        <v/>
      </c>
      <c r="Y20" s="138"/>
      <c r="Z20" s="22"/>
    </row>
    <row r="21" spans="2:26" ht="20.100000000000001" customHeight="1" x14ac:dyDescent="0.25">
      <c r="B21" s="70"/>
      <c r="C21" s="71">
        <v>13</v>
      </c>
      <c r="D21" s="60"/>
      <c r="E21" s="82"/>
      <c r="F21" s="81"/>
      <c r="G21" s="81"/>
      <c r="H21" s="72" t="str">
        <f>IFERROR(VLOOKUP(E21,Picklists!$D$3:$H$105,3,FALSE),"")</f>
        <v/>
      </c>
      <c r="I21" s="147"/>
      <c r="J21" s="62"/>
      <c r="K21" s="72" t="str">
        <f>IFERROR(VLOOKUP(E21,Picklists!$D$3:$I$107,4,FALSE),"")</f>
        <v/>
      </c>
      <c r="L21" s="72" t="str">
        <f>IFERROR(VLOOKUP(E21,Picklists!$D$3:$I$107,5,FALSE),"")</f>
        <v/>
      </c>
      <c r="M21" s="72" t="str">
        <f t="shared" si="4"/>
        <v/>
      </c>
      <c r="N21" s="72" t="str">
        <f>IFERROR(VLOOKUP(E21,Picklists!$D$3:$I$107,6,FALSE),"")</f>
        <v/>
      </c>
      <c r="O21" s="132" t="str">
        <f t="shared" si="0"/>
        <v/>
      </c>
      <c r="P21" s="72" t="str">
        <f t="shared" si="5"/>
        <v/>
      </c>
      <c r="Q21" s="133" t="str">
        <f t="shared" si="6"/>
        <v/>
      </c>
      <c r="R21" s="133" t="str">
        <f t="shared" si="7"/>
        <v/>
      </c>
      <c r="S21" s="134" t="str">
        <f t="shared" si="8"/>
        <v>complete</v>
      </c>
      <c r="T21" s="134"/>
      <c r="U21" s="134">
        <f t="shared" si="1"/>
        <v>0</v>
      </c>
      <c r="V21" s="134" t="str">
        <f t="shared" si="9"/>
        <v/>
      </c>
      <c r="W21" s="136" t="str">
        <f t="shared" si="10"/>
        <v/>
      </c>
      <c r="X21" s="137" t="str">
        <f t="shared" si="3"/>
        <v/>
      </c>
      <c r="Y21" s="138"/>
      <c r="Z21" s="22"/>
    </row>
    <row r="22" spans="2:26" ht="20.100000000000001" customHeight="1" x14ac:dyDescent="0.25">
      <c r="B22" s="70"/>
      <c r="C22" s="71">
        <v>14</v>
      </c>
      <c r="D22" s="60"/>
      <c r="E22" s="82"/>
      <c r="F22" s="81"/>
      <c r="G22" s="81"/>
      <c r="H22" s="72" t="str">
        <f>IFERROR(VLOOKUP(E22,Picklists!$D$3:$H$105,3,FALSE),"")</f>
        <v/>
      </c>
      <c r="I22" s="147"/>
      <c r="J22" s="62"/>
      <c r="K22" s="72" t="str">
        <f>IFERROR(VLOOKUP(E22,Picklists!$D$3:$I$107,4,FALSE),"")</f>
        <v/>
      </c>
      <c r="L22" s="72" t="str">
        <f>IFERROR(VLOOKUP(E22,Picklists!$D$3:$I$107,5,FALSE),"")</f>
        <v/>
      </c>
      <c r="M22" s="72" t="str">
        <f t="shared" si="4"/>
        <v/>
      </c>
      <c r="N22" s="72" t="str">
        <f>IFERROR(VLOOKUP(E22,Picklists!$D$3:$I$107,6,FALSE),"")</f>
        <v/>
      </c>
      <c r="O22" s="132" t="str">
        <f t="shared" si="0"/>
        <v/>
      </c>
      <c r="P22" s="72" t="str">
        <f t="shared" si="5"/>
        <v/>
      </c>
      <c r="Q22" s="133" t="str">
        <f t="shared" si="6"/>
        <v/>
      </c>
      <c r="R22" s="133" t="str">
        <f t="shared" si="7"/>
        <v/>
      </c>
      <c r="S22" s="134" t="str">
        <f t="shared" si="8"/>
        <v>complete</v>
      </c>
      <c r="T22" s="134"/>
      <c r="U22" s="134">
        <f t="shared" si="1"/>
        <v>0</v>
      </c>
      <c r="V22" s="134" t="str">
        <f t="shared" si="9"/>
        <v/>
      </c>
      <c r="W22" s="136" t="str">
        <f t="shared" si="10"/>
        <v/>
      </c>
      <c r="X22" s="137" t="str">
        <f t="shared" si="3"/>
        <v/>
      </c>
      <c r="Y22" s="73"/>
      <c r="Z22" s="22"/>
    </row>
    <row r="23" spans="2:26" ht="20.100000000000001" customHeight="1" x14ac:dyDescent="0.25">
      <c r="B23" s="70"/>
      <c r="C23" s="71">
        <v>15</v>
      </c>
      <c r="D23" s="60"/>
      <c r="E23" s="82"/>
      <c r="F23" s="81"/>
      <c r="G23" s="81"/>
      <c r="H23" s="72" t="str">
        <f>IFERROR(VLOOKUP(E23,Picklists!$D$3:$H$105,3,FALSE),"")</f>
        <v/>
      </c>
      <c r="I23" s="147"/>
      <c r="J23" s="62"/>
      <c r="K23" s="72" t="str">
        <f>IFERROR(VLOOKUP(E23,Picklists!$D$3:$I$107,4,FALSE),"")</f>
        <v/>
      </c>
      <c r="L23" s="72" t="str">
        <f>IFERROR(VLOOKUP(E23,Picklists!$D$3:$I$107,5,FALSE),"")</f>
        <v/>
      </c>
      <c r="M23" s="72" t="str">
        <f t="shared" si="4"/>
        <v/>
      </c>
      <c r="N23" s="72" t="str">
        <f>IFERROR(VLOOKUP(E23,Picklists!$D$3:$I$107,6,FALSE),"")</f>
        <v/>
      </c>
      <c r="O23" s="132" t="str">
        <f t="shared" si="0"/>
        <v/>
      </c>
      <c r="P23" s="72" t="str">
        <f t="shared" si="5"/>
        <v/>
      </c>
      <c r="Q23" s="133" t="str">
        <f t="shared" si="6"/>
        <v/>
      </c>
      <c r="R23" s="133" t="str">
        <f t="shared" si="7"/>
        <v/>
      </c>
      <c r="S23" s="134" t="str">
        <f t="shared" si="8"/>
        <v>complete</v>
      </c>
      <c r="T23" s="134"/>
      <c r="U23" s="134">
        <f t="shared" si="1"/>
        <v>0</v>
      </c>
      <c r="V23" s="134" t="str">
        <f t="shared" si="9"/>
        <v/>
      </c>
      <c r="W23" s="136" t="str">
        <f t="shared" si="10"/>
        <v/>
      </c>
      <c r="X23" s="137" t="str">
        <f t="shared" si="3"/>
        <v/>
      </c>
      <c r="Y23" s="76"/>
      <c r="Z23" s="22"/>
    </row>
    <row r="24" spans="2:26" ht="20.100000000000001" customHeight="1" x14ac:dyDescent="0.25">
      <c r="B24" s="70"/>
      <c r="C24" s="71">
        <v>16</v>
      </c>
      <c r="D24" s="60"/>
      <c r="E24" s="82"/>
      <c r="F24" s="81"/>
      <c r="G24" s="81"/>
      <c r="H24" s="72" t="str">
        <f>IFERROR(VLOOKUP(E24,Picklists!$D$3:$H$105,3,FALSE),"")</f>
        <v/>
      </c>
      <c r="I24" s="147"/>
      <c r="J24" s="62"/>
      <c r="K24" s="72" t="str">
        <f>IFERROR(VLOOKUP(E24,Picklists!$D$3:$I$107,4,FALSE),"")</f>
        <v/>
      </c>
      <c r="L24" s="72" t="str">
        <f>IFERROR(VLOOKUP(E24,Picklists!$D$3:$I$107,5,FALSE),"")</f>
        <v/>
      </c>
      <c r="M24" s="72" t="str">
        <f t="shared" si="4"/>
        <v/>
      </c>
      <c r="N24" s="72" t="str">
        <f>IFERROR(VLOOKUP(E24,Picklists!$D$3:$I$107,6,FALSE),"")</f>
        <v/>
      </c>
      <c r="O24" s="132" t="str">
        <f t="shared" si="0"/>
        <v/>
      </c>
      <c r="P24" s="72" t="str">
        <f t="shared" si="5"/>
        <v/>
      </c>
      <c r="Q24" s="133" t="str">
        <f t="shared" si="6"/>
        <v/>
      </c>
      <c r="R24" s="133" t="str">
        <f t="shared" si="7"/>
        <v/>
      </c>
      <c r="S24" s="134" t="str">
        <f t="shared" si="8"/>
        <v>complete</v>
      </c>
      <c r="T24" s="134"/>
      <c r="U24" s="134">
        <f t="shared" si="1"/>
        <v>0</v>
      </c>
      <c r="V24" s="134" t="str">
        <f t="shared" si="9"/>
        <v/>
      </c>
      <c r="W24" s="136" t="str">
        <f t="shared" si="10"/>
        <v/>
      </c>
      <c r="X24" s="137" t="str">
        <f t="shared" si="3"/>
        <v/>
      </c>
      <c r="Y24" s="76"/>
      <c r="Z24" s="22"/>
    </row>
    <row r="25" spans="2:26" ht="20.100000000000001" customHeight="1" x14ac:dyDescent="0.25">
      <c r="B25" s="70"/>
      <c r="C25" s="71">
        <v>17</v>
      </c>
      <c r="D25" s="60"/>
      <c r="E25" s="82"/>
      <c r="F25" s="81"/>
      <c r="G25" s="81"/>
      <c r="H25" s="72" t="str">
        <f>IFERROR(VLOOKUP(E25,Picklists!$D$3:$H$105,3,FALSE),"")</f>
        <v/>
      </c>
      <c r="I25" s="147"/>
      <c r="J25" s="62"/>
      <c r="K25" s="72" t="str">
        <f>IFERROR(VLOOKUP(E25,Picklists!$D$3:$I$107,4,FALSE),"")</f>
        <v/>
      </c>
      <c r="L25" s="72" t="str">
        <f>IFERROR(VLOOKUP(E25,Picklists!$D$3:$I$107,5,FALSE),"")</f>
        <v/>
      </c>
      <c r="M25" s="72" t="str">
        <f t="shared" si="4"/>
        <v/>
      </c>
      <c r="N25" s="72" t="str">
        <f>IFERROR(VLOOKUP(E25,Picklists!$D$3:$I$107,6,FALSE),"")</f>
        <v/>
      </c>
      <c r="O25" s="132" t="str">
        <f t="shared" si="0"/>
        <v/>
      </c>
      <c r="P25" s="72" t="str">
        <f t="shared" si="5"/>
        <v/>
      </c>
      <c r="Q25" s="133" t="str">
        <f t="shared" si="6"/>
        <v/>
      </c>
      <c r="R25" s="133" t="str">
        <f t="shared" si="7"/>
        <v/>
      </c>
      <c r="S25" s="134" t="str">
        <f t="shared" si="8"/>
        <v>complete</v>
      </c>
      <c r="T25" s="134"/>
      <c r="U25" s="134">
        <f t="shared" si="1"/>
        <v>0</v>
      </c>
      <c r="V25" s="134" t="str">
        <f t="shared" si="9"/>
        <v/>
      </c>
      <c r="W25" s="136" t="str">
        <f t="shared" si="10"/>
        <v/>
      </c>
      <c r="X25" s="137" t="str">
        <f t="shared" si="3"/>
        <v/>
      </c>
      <c r="Y25" s="76"/>
      <c r="Z25" s="22"/>
    </row>
    <row r="26" spans="2:26" ht="20.100000000000001" customHeight="1" x14ac:dyDescent="0.25">
      <c r="B26" s="70"/>
      <c r="C26" s="71">
        <v>18</v>
      </c>
      <c r="D26" s="60"/>
      <c r="E26" s="82"/>
      <c r="F26" s="81"/>
      <c r="G26" s="81"/>
      <c r="H26" s="72" t="str">
        <f>IFERROR(VLOOKUP(E26,Picklists!$D$3:$H$105,3,FALSE),"")</f>
        <v/>
      </c>
      <c r="I26" s="147"/>
      <c r="J26" s="62"/>
      <c r="K26" s="72" t="str">
        <f>IFERROR(VLOOKUP(E26,Picklists!$D$3:$I$107,4,FALSE),"")</f>
        <v/>
      </c>
      <c r="L26" s="72" t="str">
        <f>IFERROR(VLOOKUP(E26,Picklists!$D$3:$I$107,5,FALSE),"")</f>
        <v/>
      </c>
      <c r="M26" s="72" t="str">
        <f t="shared" si="4"/>
        <v/>
      </c>
      <c r="N26" s="72" t="str">
        <f>IFERROR(VLOOKUP(E26,Picklists!$D$3:$I$107,6,FALSE),"")</f>
        <v/>
      </c>
      <c r="O26" s="132" t="str">
        <f t="shared" si="0"/>
        <v/>
      </c>
      <c r="P26" s="72" t="str">
        <f t="shared" si="5"/>
        <v/>
      </c>
      <c r="Q26" s="133" t="str">
        <f t="shared" si="6"/>
        <v/>
      </c>
      <c r="R26" s="133" t="str">
        <f t="shared" si="7"/>
        <v/>
      </c>
      <c r="S26" s="134" t="str">
        <f t="shared" si="8"/>
        <v>complete</v>
      </c>
      <c r="T26" s="134"/>
      <c r="U26" s="134">
        <f t="shared" si="1"/>
        <v>0</v>
      </c>
      <c r="V26" s="134" t="str">
        <f t="shared" si="9"/>
        <v/>
      </c>
      <c r="W26" s="136" t="str">
        <f t="shared" si="10"/>
        <v/>
      </c>
      <c r="X26" s="137" t="str">
        <f t="shared" si="3"/>
        <v/>
      </c>
      <c r="Y26" s="34"/>
      <c r="Z26" s="22"/>
    </row>
    <row r="27" spans="2:26" ht="20.100000000000001" customHeight="1" x14ac:dyDescent="0.25">
      <c r="B27" s="70"/>
      <c r="C27" s="71">
        <v>19</v>
      </c>
      <c r="D27" s="60"/>
      <c r="E27" s="82"/>
      <c r="F27" s="81"/>
      <c r="G27" s="81"/>
      <c r="H27" s="72" t="str">
        <f>IFERROR(VLOOKUP(E27,Picklists!$D$3:$H$105,3,FALSE),"")</f>
        <v/>
      </c>
      <c r="I27" s="147"/>
      <c r="J27" s="62"/>
      <c r="K27" s="72" t="str">
        <f>IFERROR(VLOOKUP(E27,Picklists!$D$3:$I$107,4,FALSE),"")</f>
        <v/>
      </c>
      <c r="L27" s="72" t="str">
        <f>IFERROR(VLOOKUP(E27,Picklists!$D$3:$I$107,5,FALSE),"")</f>
        <v/>
      </c>
      <c r="M27" s="72" t="str">
        <f t="shared" si="4"/>
        <v/>
      </c>
      <c r="N27" s="72" t="str">
        <f>IFERROR(VLOOKUP(E27,Picklists!$D$3:$I$107,6,FALSE),"")</f>
        <v/>
      </c>
      <c r="O27" s="132" t="str">
        <f t="shared" si="0"/>
        <v/>
      </c>
      <c r="P27" s="72" t="str">
        <f t="shared" si="5"/>
        <v/>
      </c>
      <c r="Q27" s="133" t="str">
        <f t="shared" si="6"/>
        <v/>
      </c>
      <c r="R27" s="133" t="str">
        <f t="shared" si="7"/>
        <v/>
      </c>
      <c r="S27" s="134" t="str">
        <f t="shared" si="8"/>
        <v>complete</v>
      </c>
      <c r="T27" s="134"/>
      <c r="U27" s="134">
        <f t="shared" si="1"/>
        <v>0</v>
      </c>
      <c r="V27" s="134" t="str">
        <f t="shared" si="9"/>
        <v/>
      </c>
      <c r="W27" s="136" t="str">
        <f t="shared" si="10"/>
        <v/>
      </c>
      <c r="X27" s="137" t="str">
        <f t="shared" si="3"/>
        <v/>
      </c>
      <c r="Y27" s="34"/>
      <c r="Z27" s="22"/>
    </row>
    <row r="28" spans="2:26" ht="20.100000000000001" customHeight="1" x14ac:dyDescent="0.25">
      <c r="B28" s="70"/>
      <c r="C28" s="71">
        <v>20</v>
      </c>
      <c r="D28" s="61"/>
      <c r="E28" s="83"/>
      <c r="F28" s="81"/>
      <c r="G28" s="81"/>
      <c r="H28" s="72" t="str">
        <f>IFERROR(VLOOKUP(E28,Picklists!$D$3:$H$105,3,FALSE),"")</f>
        <v/>
      </c>
      <c r="I28" s="147"/>
      <c r="J28" s="62"/>
      <c r="K28" s="72" t="str">
        <f>IFERROR(VLOOKUP(E28,Picklists!$D$3:$I$107,4,FALSE),"")</f>
        <v/>
      </c>
      <c r="L28" s="72" t="str">
        <f>IFERROR(VLOOKUP(E28,Picklists!$D$3:$I$107,5,FALSE),"")</f>
        <v/>
      </c>
      <c r="M28" s="72" t="str">
        <f t="shared" si="4"/>
        <v/>
      </c>
      <c r="N28" s="72" t="str">
        <f>IFERROR(VLOOKUP(E28,Picklists!$D$3:$I$107,6,FALSE),"")</f>
        <v/>
      </c>
      <c r="O28" s="132" t="str">
        <f t="shared" si="0"/>
        <v/>
      </c>
      <c r="P28" s="72" t="str">
        <f t="shared" si="5"/>
        <v/>
      </c>
      <c r="Q28" s="133" t="str">
        <f t="shared" si="6"/>
        <v/>
      </c>
      <c r="R28" s="133" t="str">
        <f t="shared" si="7"/>
        <v/>
      </c>
      <c r="S28" s="134" t="str">
        <f t="shared" si="8"/>
        <v>complete</v>
      </c>
      <c r="T28" s="134"/>
      <c r="U28" s="134">
        <f t="shared" si="1"/>
        <v>0</v>
      </c>
      <c r="V28" s="134" t="str">
        <f t="shared" si="9"/>
        <v/>
      </c>
      <c r="W28" s="136" t="str">
        <f t="shared" si="10"/>
        <v/>
      </c>
      <c r="X28" s="137" t="str">
        <f t="shared" si="3"/>
        <v/>
      </c>
      <c r="Y28" s="34"/>
      <c r="Z28" s="22"/>
    </row>
    <row r="29" spans="2:26" ht="20.100000000000001" customHeight="1" x14ac:dyDescent="0.25">
      <c r="B29" s="70"/>
      <c r="C29" s="71">
        <v>21</v>
      </c>
      <c r="D29" s="61"/>
      <c r="E29" s="83"/>
      <c r="F29" s="81"/>
      <c r="G29" s="81"/>
      <c r="H29" s="72" t="str">
        <f>IFERROR(VLOOKUP(E29,Picklists!$D$3:$H$105,3,FALSE),"")</f>
        <v/>
      </c>
      <c r="I29" s="147"/>
      <c r="J29" s="62"/>
      <c r="K29" s="72" t="str">
        <f>IFERROR(VLOOKUP(E29,Picklists!$D$3:$I$107,4,FALSE),"")</f>
        <v/>
      </c>
      <c r="L29" s="72" t="str">
        <f>IFERROR(VLOOKUP(E29,Picklists!$D$3:$I$107,5,FALSE),"")</f>
        <v/>
      </c>
      <c r="M29" s="72" t="str">
        <f t="shared" si="4"/>
        <v/>
      </c>
      <c r="N29" s="72" t="str">
        <f>IFERROR(VLOOKUP(E29,Picklists!$D$3:$I$107,6,FALSE),"")</f>
        <v/>
      </c>
      <c r="O29" s="132" t="str">
        <f t="shared" si="0"/>
        <v/>
      </c>
      <c r="P29" s="72" t="str">
        <f t="shared" si="5"/>
        <v/>
      </c>
      <c r="Q29" s="133" t="str">
        <f t="shared" si="6"/>
        <v/>
      </c>
      <c r="R29" s="133" t="str">
        <f t="shared" si="7"/>
        <v/>
      </c>
      <c r="S29" s="134" t="str">
        <f t="shared" si="8"/>
        <v>complete</v>
      </c>
      <c r="T29" s="134"/>
      <c r="U29" s="134">
        <f t="shared" si="1"/>
        <v>0</v>
      </c>
      <c r="V29" s="134" t="str">
        <f t="shared" si="9"/>
        <v/>
      </c>
      <c r="W29" s="136" t="str">
        <f t="shared" si="10"/>
        <v/>
      </c>
      <c r="X29" s="137" t="str">
        <f t="shared" si="3"/>
        <v/>
      </c>
      <c r="Y29" s="20"/>
      <c r="Z29" s="22"/>
    </row>
    <row r="30" spans="2:26" ht="20.100000000000001" customHeight="1" x14ac:dyDescent="0.25">
      <c r="B30" s="70"/>
      <c r="C30" s="71">
        <v>22</v>
      </c>
      <c r="D30" s="61"/>
      <c r="E30" s="83"/>
      <c r="F30" s="81"/>
      <c r="G30" s="81"/>
      <c r="H30" s="72" t="str">
        <f>IFERROR(VLOOKUP(E30,Picklists!$D$3:$H$105,3,FALSE),"")</f>
        <v/>
      </c>
      <c r="I30" s="147"/>
      <c r="J30" s="62"/>
      <c r="K30" s="72" t="str">
        <f>IFERROR(VLOOKUP(E30,Picklists!$D$3:$I$107,4,FALSE),"")</f>
        <v/>
      </c>
      <c r="L30" s="72" t="str">
        <f>IFERROR(VLOOKUP(E30,Picklists!$D$3:$I$107,5,FALSE),"")</f>
        <v/>
      </c>
      <c r="M30" s="72" t="str">
        <f t="shared" si="4"/>
        <v/>
      </c>
      <c r="N30" s="72" t="str">
        <f>IFERROR(VLOOKUP(E30,Picklists!$D$3:$I$107,6,FALSE),"")</f>
        <v/>
      </c>
      <c r="O30" s="132" t="str">
        <f t="shared" si="0"/>
        <v/>
      </c>
      <c r="P30" s="72" t="str">
        <f t="shared" si="5"/>
        <v/>
      </c>
      <c r="Q30" s="133" t="str">
        <f t="shared" si="6"/>
        <v/>
      </c>
      <c r="R30" s="133" t="str">
        <f t="shared" si="7"/>
        <v/>
      </c>
      <c r="S30" s="134" t="str">
        <f t="shared" si="8"/>
        <v>complete</v>
      </c>
      <c r="T30" s="134"/>
      <c r="U30" s="134">
        <f t="shared" si="1"/>
        <v>0</v>
      </c>
      <c r="V30" s="134" t="str">
        <f t="shared" si="9"/>
        <v/>
      </c>
      <c r="W30" s="136" t="str">
        <f t="shared" si="10"/>
        <v/>
      </c>
      <c r="X30" s="137" t="str">
        <f t="shared" si="3"/>
        <v/>
      </c>
      <c r="Y30" s="20"/>
      <c r="Z30" s="22"/>
    </row>
    <row r="31" spans="2:26" ht="20.100000000000001" customHeight="1" x14ac:dyDescent="0.25">
      <c r="B31" s="70"/>
      <c r="C31" s="71">
        <v>23</v>
      </c>
      <c r="D31" s="61"/>
      <c r="E31" s="83"/>
      <c r="F31" s="81"/>
      <c r="G31" s="81"/>
      <c r="H31" s="72" t="str">
        <f>IFERROR(VLOOKUP(E31,Picklists!$D$3:$H$105,3,FALSE),"")</f>
        <v/>
      </c>
      <c r="I31" s="147"/>
      <c r="J31" s="62"/>
      <c r="K31" s="72" t="str">
        <f>IFERROR(VLOOKUP(E31,Picklists!$D$3:$I$107,4,FALSE),"")</f>
        <v/>
      </c>
      <c r="L31" s="72" t="str">
        <f>IFERROR(VLOOKUP(E31,Picklists!$D$3:$I$107,5,FALSE),"")</f>
        <v/>
      </c>
      <c r="M31" s="72" t="str">
        <f t="shared" si="4"/>
        <v/>
      </c>
      <c r="N31" s="72" t="str">
        <f>IFERROR(VLOOKUP(E31,Picklists!$D$3:$I$107,6,FALSE),"")</f>
        <v/>
      </c>
      <c r="O31" s="132" t="str">
        <f t="shared" si="0"/>
        <v/>
      </c>
      <c r="P31" s="72" t="str">
        <f t="shared" si="5"/>
        <v/>
      </c>
      <c r="Q31" s="133" t="str">
        <f t="shared" si="6"/>
        <v/>
      </c>
      <c r="R31" s="133" t="str">
        <f t="shared" si="7"/>
        <v/>
      </c>
      <c r="S31" s="134" t="str">
        <f t="shared" si="8"/>
        <v>complete</v>
      </c>
      <c r="T31" s="134"/>
      <c r="U31" s="134">
        <f t="shared" si="1"/>
        <v>0</v>
      </c>
      <c r="V31" s="134" t="str">
        <f t="shared" si="9"/>
        <v/>
      </c>
      <c r="W31" s="136" t="str">
        <f t="shared" si="10"/>
        <v/>
      </c>
      <c r="X31" s="137" t="str">
        <f t="shared" si="3"/>
        <v/>
      </c>
      <c r="Y31" s="20"/>
      <c r="Z31" s="22"/>
    </row>
    <row r="32" spans="2:26" ht="20.100000000000001" customHeight="1" x14ac:dyDescent="0.25">
      <c r="B32" s="70"/>
      <c r="C32" s="71">
        <v>24</v>
      </c>
      <c r="D32" s="61"/>
      <c r="E32" s="83"/>
      <c r="F32" s="81"/>
      <c r="G32" s="81"/>
      <c r="H32" s="72" t="str">
        <f>IFERROR(VLOOKUP(E32,Picklists!$D$3:$H$105,3,FALSE),"")</f>
        <v/>
      </c>
      <c r="I32" s="147"/>
      <c r="J32" s="62"/>
      <c r="K32" s="72" t="str">
        <f>IFERROR(VLOOKUP(E32,Picklists!$D$3:$I$107,4,FALSE),"")</f>
        <v/>
      </c>
      <c r="L32" s="72" t="str">
        <f>IFERROR(VLOOKUP(E32,Picklists!$D$3:$I$107,5,FALSE),"")</f>
        <v/>
      </c>
      <c r="M32" s="72" t="str">
        <f t="shared" si="4"/>
        <v/>
      </c>
      <c r="N32" s="72" t="str">
        <f>IFERROR(VLOOKUP(E32,Picklists!$D$3:$I$107,6,FALSE),"")</f>
        <v/>
      </c>
      <c r="O32" s="132" t="str">
        <f t="shared" si="0"/>
        <v/>
      </c>
      <c r="P32" s="72" t="str">
        <f t="shared" si="5"/>
        <v/>
      </c>
      <c r="Q32" s="133" t="str">
        <f t="shared" si="6"/>
        <v/>
      </c>
      <c r="R32" s="133" t="str">
        <f t="shared" si="7"/>
        <v/>
      </c>
      <c r="S32" s="134" t="str">
        <f t="shared" si="8"/>
        <v>complete</v>
      </c>
      <c r="T32" s="134"/>
      <c r="U32" s="134">
        <f t="shared" si="1"/>
        <v>0</v>
      </c>
      <c r="V32" s="134" t="str">
        <f t="shared" si="9"/>
        <v/>
      </c>
      <c r="W32" s="136" t="str">
        <f t="shared" si="10"/>
        <v/>
      </c>
      <c r="X32" s="137" t="str">
        <f t="shared" si="3"/>
        <v/>
      </c>
      <c r="Y32" s="20"/>
      <c r="Z32" s="22"/>
    </row>
    <row r="33" spans="2:26" ht="20.100000000000001" customHeight="1" thickBot="1" x14ac:dyDescent="0.3">
      <c r="B33" s="139"/>
      <c r="C33" s="140">
        <v>25</v>
      </c>
      <c r="D33" s="144"/>
      <c r="E33" s="145"/>
      <c r="F33" s="146"/>
      <c r="G33" s="146"/>
      <c r="H33" s="141" t="str">
        <f>IFERROR(VLOOKUP(E33,Picklists!$D$3:$H$105,3,FALSE),"")</f>
        <v/>
      </c>
      <c r="I33" s="148"/>
      <c r="J33" s="149"/>
      <c r="K33" s="141" t="str">
        <f>IFERROR(VLOOKUP(E33,Picklists!$D$3:$I$107,4,FALSE),"")</f>
        <v/>
      </c>
      <c r="L33" s="141" t="str">
        <f>IFERROR(VLOOKUP(E33,Picklists!$D$3:$I$107,5,FALSE),"")</f>
        <v/>
      </c>
      <c r="M33" s="141" t="str">
        <f t="shared" si="4"/>
        <v/>
      </c>
      <c r="N33" s="141" t="str">
        <f>IFERROR(VLOOKUP(E33,Picklists!$D$3:$I$107,6,FALSE),"")</f>
        <v/>
      </c>
      <c r="O33" s="142" t="str">
        <f t="shared" si="0"/>
        <v/>
      </c>
      <c r="P33" s="141" t="str">
        <f t="shared" si="5"/>
        <v/>
      </c>
      <c r="Q33" s="133" t="str">
        <f>IF(AND(D33="",E33&gt;0),"incomplete","")</f>
        <v/>
      </c>
      <c r="R33" s="133" t="str">
        <f t="shared" si="7"/>
        <v/>
      </c>
      <c r="S33" s="134" t="str">
        <f t="shared" si="8"/>
        <v>complete</v>
      </c>
      <c r="T33" s="134"/>
      <c r="U33" s="134">
        <f t="shared" si="1"/>
        <v>0</v>
      </c>
      <c r="V33" s="134" t="str">
        <f t="shared" si="9"/>
        <v/>
      </c>
      <c r="W33" s="136" t="str">
        <f t="shared" si="10"/>
        <v/>
      </c>
      <c r="X33" s="137" t="str">
        <f t="shared" si="3"/>
        <v/>
      </c>
      <c r="Y33" s="20"/>
      <c r="Z33" s="22"/>
    </row>
    <row r="34" spans="2:26" x14ac:dyDescent="0.25">
      <c r="B34" s="19"/>
      <c r="C34" s="20"/>
      <c r="D34" s="20"/>
      <c r="E34" s="20"/>
      <c r="F34" s="20"/>
      <c r="G34" s="20"/>
      <c r="H34" s="53"/>
      <c r="I34" s="53"/>
      <c r="J34" s="20"/>
      <c r="K34" s="20"/>
      <c r="L34" s="20"/>
      <c r="M34" s="20"/>
      <c r="N34" s="20"/>
      <c r="O34" s="20"/>
      <c r="P34" s="20"/>
      <c r="Q34" s="20"/>
      <c r="R34" s="20"/>
      <c r="S34" s="20"/>
      <c r="T34" s="20"/>
      <c r="U34" s="20"/>
      <c r="V34" s="20"/>
      <c r="W34" s="20"/>
      <c r="X34" s="20"/>
      <c r="Y34" s="20"/>
      <c r="Z34" s="22"/>
    </row>
    <row r="35" spans="2:26" x14ac:dyDescent="0.25">
      <c r="B35" s="19"/>
      <c r="C35" s="53"/>
      <c r="D35" s="20"/>
      <c r="E35" s="20"/>
      <c r="F35" s="20"/>
      <c r="G35" s="20"/>
      <c r="H35" s="58"/>
      <c r="I35" s="58"/>
      <c r="J35" s="20"/>
      <c r="K35" s="20"/>
      <c r="L35" s="20"/>
      <c r="M35" s="20"/>
      <c r="N35" s="20"/>
      <c r="O35" s="20"/>
      <c r="P35" s="20"/>
      <c r="Q35" s="20"/>
      <c r="R35" s="20"/>
      <c r="S35" s="20"/>
      <c r="T35" s="20"/>
      <c r="U35" s="20"/>
      <c r="V35" s="20"/>
      <c r="W35" s="20"/>
      <c r="X35" s="20"/>
      <c r="Y35" s="20"/>
      <c r="Z35" s="22"/>
    </row>
    <row r="36" spans="2:26" x14ac:dyDescent="0.25">
      <c r="B36" s="19"/>
      <c r="C36" s="20"/>
      <c r="D36" s="20"/>
      <c r="E36" s="20"/>
      <c r="F36" s="20"/>
      <c r="G36" s="20"/>
      <c r="H36" s="53"/>
      <c r="I36" s="53"/>
      <c r="J36" s="20"/>
      <c r="K36" s="20"/>
      <c r="L36" s="20"/>
      <c r="M36" s="20"/>
      <c r="N36" s="20"/>
      <c r="O36" s="20"/>
      <c r="P36" s="20"/>
      <c r="Q36" s="20"/>
      <c r="R36" s="20"/>
      <c r="S36" s="20"/>
      <c r="T36" s="20"/>
      <c r="U36" s="20"/>
      <c r="V36" s="20"/>
      <c r="W36" s="20"/>
      <c r="X36" s="20"/>
      <c r="Y36" s="20"/>
      <c r="Z36" s="22"/>
    </row>
    <row r="37" spans="2:26" x14ac:dyDescent="0.25">
      <c r="B37" s="19"/>
      <c r="C37" s="478"/>
      <c r="D37" s="478"/>
      <c r="E37" s="478"/>
      <c r="F37" s="77"/>
      <c r="G37" s="77"/>
      <c r="H37" s="53"/>
      <c r="I37" s="53"/>
      <c r="J37" s="20"/>
      <c r="K37" s="20"/>
      <c r="L37" s="20"/>
      <c r="M37" s="20"/>
      <c r="N37" s="20"/>
      <c r="O37" s="20"/>
      <c r="P37" s="20"/>
      <c r="Q37" s="20"/>
      <c r="R37" s="20"/>
      <c r="S37" s="20"/>
      <c r="T37" s="20"/>
      <c r="U37" s="20"/>
      <c r="V37" s="20"/>
      <c r="W37" s="20"/>
      <c r="X37" s="20"/>
      <c r="Y37" s="20"/>
      <c r="Z37" s="22"/>
    </row>
    <row r="38" spans="2:26" x14ac:dyDescent="0.25">
      <c r="B38" s="19"/>
      <c r="C38" s="487"/>
      <c r="D38" s="487"/>
      <c r="E38" s="487"/>
      <c r="F38" s="78"/>
      <c r="G38" s="78"/>
      <c r="H38" s="53"/>
      <c r="I38" s="53"/>
      <c r="J38" s="20"/>
      <c r="K38" s="20"/>
      <c r="L38" s="20"/>
      <c r="M38" s="20"/>
      <c r="N38" s="20"/>
      <c r="O38" s="20"/>
      <c r="P38" s="20"/>
      <c r="Q38" s="20"/>
      <c r="R38" s="20"/>
      <c r="S38" s="20"/>
      <c r="T38" s="20"/>
      <c r="U38" s="20"/>
      <c r="V38" s="20"/>
      <c r="W38" s="20"/>
      <c r="X38" s="20"/>
      <c r="Y38" s="20"/>
      <c r="Z38" s="22"/>
    </row>
    <row r="39" spans="2:26" x14ac:dyDescent="0.25">
      <c r="B39" s="19"/>
      <c r="C39" s="53"/>
      <c r="D39" s="79"/>
      <c r="E39" s="79"/>
      <c r="F39" s="79"/>
      <c r="G39" s="79"/>
      <c r="H39" s="58"/>
      <c r="I39" s="58"/>
      <c r="J39" s="20"/>
      <c r="K39" s="20"/>
      <c r="L39" s="20"/>
      <c r="M39" s="20"/>
      <c r="N39" s="20"/>
      <c r="O39" s="20"/>
      <c r="P39" s="20"/>
      <c r="Q39" s="20"/>
      <c r="R39" s="20"/>
      <c r="S39" s="20"/>
      <c r="T39" s="20"/>
      <c r="U39" s="20"/>
      <c r="V39" s="20"/>
      <c r="W39" s="20"/>
      <c r="X39" s="20"/>
      <c r="Y39" s="20"/>
      <c r="Z39" s="22"/>
    </row>
    <row r="40" spans="2:26" ht="15.75" thickBot="1" x14ac:dyDescent="0.3">
      <c r="B40" s="26"/>
      <c r="C40" s="27"/>
      <c r="D40" s="27"/>
      <c r="E40" s="27"/>
      <c r="F40" s="27"/>
      <c r="G40" s="27"/>
      <c r="H40" s="38"/>
      <c r="I40" s="38"/>
      <c r="J40" s="27"/>
      <c r="K40" s="27"/>
      <c r="L40" s="27"/>
      <c r="M40" s="27"/>
      <c r="N40" s="27"/>
      <c r="O40" s="27"/>
      <c r="P40" s="27"/>
      <c r="Q40" s="27"/>
      <c r="R40" s="27"/>
      <c r="S40" s="27"/>
      <c r="T40" s="27"/>
      <c r="U40" s="27"/>
      <c r="V40" s="27"/>
      <c r="W40" s="27"/>
      <c r="X40" s="27"/>
      <c r="Y40" s="27"/>
      <c r="Z40" s="29"/>
    </row>
  </sheetData>
  <sheetProtection algorithmName="SHA-512" hashValue="3FnSgbk8yzSv15PH57hBE/227783rJW0QPUuGESpALpSRqRTrlGzGPidgnllFXbaC5RWBxrX666ngZhqgNjQQw==" saltValue="8GunwCnFKX3+TkAZq9FjtA==" spinCount="100000" sheet="1" objects="1" scenarios="1"/>
  <mergeCells count="9">
    <mergeCell ref="J4:J7"/>
    <mergeCell ref="C37:E37"/>
    <mergeCell ref="B3:O3"/>
    <mergeCell ref="N4:O7"/>
    <mergeCell ref="C38:E38"/>
    <mergeCell ref="G4:G7"/>
    <mergeCell ref="I4:I7"/>
    <mergeCell ref="E4:E7"/>
    <mergeCell ref="F4:F7"/>
  </mergeCells>
  <conditionalFormatting sqref="S9:V33">
    <cfRule type="cellIs" dxfId="24" priority="1" operator="equal">
      <formula>"incomplete"</formula>
    </cfRule>
    <cfRule type="cellIs" dxfId="23" priority="2" operator="equal">
      <formula>"complete"</formula>
    </cfRule>
  </conditionalFormatting>
  <dataValidations count="2">
    <dataValidation allowBlank="1" errorTitle="Select From List" prompt="Select from List" sqref="E39:G39" xr:uid="{00000000-0002-0000-0700-000000000000}"/>
    <dataValidation allowBlank="1" sqref="H39:J40" xr:uid="{00000000-0002-0000-0700-000001000000}"/>
  </dataValidations>
  <pageMargins left="0.7" right="0.7" top="0.75" bottom="0.75" header="0.3" footer="0.3"/>
  <pageSetup paperSize="9" orientation="portrait" horizontalDpi="203" verticalDpi="203"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Picklists!$AF$2:$AF$3</xm:f>
          </x14:formula1>
          <xm:sqref>F9:G33</xm:sqref>
        </x14:dataValidation>
        <x14:dataValidation type="list" allowBlank="1" showInputMessage="1" showErrorMessage="1" xr:uid="{00000000-0002-0000-0700-000003000000}">
          <x14:formula1>
            <xm:f>Picklists!$D$3:$D$105</xm:f>
          </x14:formula1>
          <xm:sqref>E9:E33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FF92-C50B-4D6C-A22C-A53DF9F4C373}">
  <sheetPr>
    <tabColor theme="9" tint="0.59996337778862885"/>
  </sheetPr>
  <dimension ref="B1:AA34"/>
  <sheetViews>
    <sheetView workbookViewId="0">
      <selection activeCell="E3" sqref="E3:L3"/>
    </sheetView>
  </sheetViews>
  <sheetFormatPr defaultRowHeight="15" x14ac:dyDescent="0.25"/>
  <cols>
    <col min="2" max="2" width="11.5703125" hidden="1" customWidth="1"/>
    <col min="3" max="4" width="11" hidden="1" customWidth="1"/>
    <col min="5" max="5" width="11" customWidth="1"/>
    <col min="6" max="6" width="9.140625" customWidth="1"/>
    <col min="7" max="7" width="40.85546875" customWidth="1"/>
    <col min="8" max="8" width="29.140625" customWidth="1"/>
    <col min="9" max="9" width="46.42578125" customWidth="1"/>
    <col min="10" max="10" width="18.28515625" customWidth="1"/>
    <col min="11" max="11" width="38" hidden="1" customWidth="1"/>
    <col min="12" max="12" width="9.140625" customWidth="1"/>
    <col min="13" max="27" width="9.140625" hidden="1" customWidth="1"/>
    <col min="28" max="28" width="0" hidden="1" customWidth="1"/>
  </cols>
  <sheetData>
    <row r="1" spans="2:27" ht="15.75" thickBot="1" x14ac:dyDescent="0.3"/>
    <row r="2" spans="2:27" ht="15.75" thickBot="1" x14ac:dyDescent="0.3">
      <c r="B2" s="41"/>
      <c r="E2" s="289" t="s">
        <v>452</v>
      </c>
      <c r="F2" s="290" t="str">
        <f>Amrwymiadau!D2</f>
        <v>SRoC CNC f2 2024-25</v>
      </c>
      <c r="G2" s="257"/>
      <c r="H2" s="258"/>
    </row>
    <row r="3" spans="2:27" ht="16.5" thickBot="1" x14ac:dyDescent="0.3">
      <c r="B3" s="44"/>
      <c r="C3" s="20"/>
      <c r="D3" s="20"/>
      <c r="E3" s="494" t="s">
        <v>370</v>
      </c>
      <c r="F3" s="495"/>
      <c r="G3" s="495"/>
      <c r="H3" s="495"/>
      <c r="I3" s="495"/>
      <c r="J3" s="495"/>
      <c r="K3" s="495"/>
      <c r="L3" s="496"/>
    </row>
    <row r="4" spans="2:27" x14ac:dyDescent="0.25">
      <c r="B4" s="19"/>
      <c r="C4" s="49"/>
      <c r="D4" s="49"/>
      <c r="E4" s="49"/>
      <c r="F4" s="150"/>
      <c r="G4" s="65"/>
      <c r="H4" s="498"/>
      <c r="I4" s="498"/>
      <c r="J4" s="151"/>
      <c r="K4" s="17"/>
      <c r="L4" s="21"/>
    </row>
    <row r="5" spans="2:27" x14ac:dyDescent="0.25">
      <c r="B5" s="19"/>
      <c r="C5" s="19"/>
      <c r="D5" s="19"/>
      <c r="E5" s="19"/>
      <c r="F5" s="499" t="s">
        <v>216</v>
      </c>
      <c r="G5" s="500"/>
      <c r="H5" s="501">
        <f>Cyflwyniad!E10</f>
        <v>0</v>
      </c>
      <c r="I5" s="501"/>
      <c r="J5" s="42"/>
      <c r="K5" s="34"/>
      <c r="L5" s="22"/>
    </row>
    <row r="6" spans="2:27" x14ac:dyDescent="0.25">
      <c r="B6" s="19"/>
      <c r="C6" s="19"/>
      <c r="D6" s="19"/>
      <c r="E6" s="19"/>
      <c r="F6" s="499" t="s">
        <v>313</v>
      </c>
      <c r="G6" s="500"/>
      <c r="H6" s="501">
        <f>Cyflwyniad!L9</f>
        <v>0</v>
      </c>
      <c r="I6" s="501"/>
      <c r="J6" s="42"/>
      <c r="K6" s="34"/>
      <c r="L6" s="22"/>
    </row>
    <row r="7" spans="2:27" x14ac:dyDescent="0.25">
      <c r="B7" s="19"/>
      <c r="C7" s="19"/>
      <c r="D7" s="19"/>
      <c r="E7" s="19"/>
      <c r="F7" s="53"/>
      <c r="G7" s="53"/>
      <c r="H7" s="42"/>
      <c r="I7" s="20"/>
      <c r="J7" s="20"/>
      <c r="K7" s="34"/>
      <c r="L7" s="22"/>
    </row>
    <row r="8" spans="2:27" ht="15.75" thickBot="1" x14ac:dyDescent="0.3">
      <c r="B8" s="19"/>
      <c r="C8" s="19"/>
      <c r="D8" s="19"/>
      <c r="E8" s="19"/>
      <c r="F8" s="53"/>
      <c r="G8" s="53"/>
      <c r="H8" s="42"/>
      <c r="I8" s="42"/>
      <c r="J8" s="42"/>
      <c r="K8" s="42"/>
      <c r="L8" s="22"/>
    </row>
    <row r="9" spans="2:27" ht="55.5" customHeight="1" thickBot="1" x14ac:dyDescent="0.3">
      <c r="B9" s="20"/>
      <c r="C9" s="19"/>
      <c r="D9" s="19"/>
      <c r="E9" s="19"/>
      <c r="F9" s="502" t="s">
        <v>371</v>
      </c>
      <c r="G9" s="503"/>
      <c r="H9" s="503"/>
      <c r="I9" s="503"/>
      <c r="J9" s="503"/>
      <c r="K9" s="504"/>
      <c r="L9" s="22"/>
      <c r="S9" s="493" t="s">
        <v>334</v>
      </c>
      <c r="T9" s="493"/>
      <c r="U9" s="493"/>
      <c r="V9" s="493"/>
      <c r="X9" s="493" t="s">
        <v>335</v>
      </c>
      <c r="Y9" s="493"/>
      <c r="Z9" s="493"/>
      <c r="AA9" s="493"/>
    </row>
    <row r="10" spans="2:27" ht="80.25" customHeight="1" x14ac:dyDescent="0.25">
      <c r="B10" s="45" t="s">
        <v>214</v>
      </c>
      <c r="C10" s="45" t="s">
        <v>215</v>
      </c>
      <c r="D10" s="45" t="s">
        <v>296</v>
      </c>
      <c r="E10" s="152"/>
      <c r="F10" s="153"/>
      <c r="G10" s="340" t="s">
        <v>322</v>
      </c>
      <c r="H10" s="340" t="s">
        <v>344</v>
      </c>
      <c r="I10" s="340" t="s">
        <v>285</v>
      </c>
      <c r="J10" s="340" t="s">
        <v>295</v>
      </c>
      <c r="K10" s="341" t="s">
        <v>282</v>
      </c>
      <c r="L10" s="22"/>
      <c r="N10" s="11" t="s">
        <v>330</v>
      </c>
      <c r="O10" s="11" t="s">
        <v>331</v>
      </c>
      <c r="P10" s="11" t="s">
        <v>332</v>
      </c>
      <c r="Q10" s="11" t="s">
        <v>333</v>
      </c>
      <c r="S10" s="11" t="s">
        <v>330</v>
      </c>
      <c r="T10" s="11" t="s">
        <v>331</v>
      </c>
      <c r="U10" s="11" t="s">
        <v>332</v>
      </c>
      <c r="V10" s="11" t="s">
        <v>333</v>
      </c>
      <c r="X10" s="11" t="s">
        <v>330</v>
      </c>
      <c r="Y10" s="11" t="s">
        <v>331</v>
      </c>
      <c r="Z10" s="11" t="s">
        <v>332</v>
      </c>
      <c r="AA10" s="11" t="s">
        <v>333</v>
      </c>
    </row>
    <row r="11" spans="2:27" ht="15" customHeight="1" x14ac:dyDescent="0.25">
      <c r="B11" s="45"/>
      <c r="C11" s="45"/>
      <c r="D11" s="45"/>
      <c r="E11" s="152"/>
      <c r="F11" s="153"/>
      <c r="G11" s="264" t="str">
        <f>IF(OR(B12="incomplete",B13="incomplete",B14="incomplete",B15="incomplete",B16="incomplete",B17="incomplete",B18="incomplete",B19="incomplete",B20="incomplete",B21="incomplete",B22="incomplete",B23="incomplete",B24="incomplete",B25="incomplete",B26="incomplete",B27="incomplete",B28="incomplete",B29="incomplete",B30="incomplete",B31="incomplete"),"incomplete","")</f>
        <v/>
      </c>
      <c r="H11" s="263"/>
      <c r="I11" s="265" t="str">
        <f>IF(OR(C12="incomplete",C13="incomplete",C14="incomplete",C15="incomplete",C16="incomplete",C17="incomplete",C18="incomplete",C19="incomplete",C20="incomplete",C21="incomplete",C22="incomplete",C23="incomplete",C24="incomplete",C25="incomplete",C26="incomplete",C27="incomplete",C28="incomplete",C29="incomplete",C30="incomplete",C31="incomplete"),"incomplete","")</f>
        <v/>
      </c>
      <c r="J11" s="265" t="str">
        <f>IF(OR(D12="incomplete",D13="incomplete",D14="incomplete",D15="incomplete",D16="incomplete",D17="incomplete",D18="incomplete",D19="incomplete",D20="incomplete",D21="incomplete",D22="incomplete",D23="incomplete",D24="incomplete",D25="incomplete",D26="incomplete",D27="incomplete",D28="incomplete",D29="incomplete",D30="incomplete",D31="incomplete"),"incomplete","complete")</f>
        <v>complete</v>
      </c>
      <c r="K11" s="69"/>
      <c r="L11" s="22"/>
    </row>
    <row r="12" spans="2:27" ht="35.1" customHeight="1" x14ac:dyDescent="0.25">
      <c r="B12" s="46" t="str">
        <f>IF(AND(G12="",H12&gt;0),"incomplete","")</f>
        <v/>
      </c>
      <c r="C12" s="46" t="str">
        <f>IF(AND(I12="",H12&gt;0),"incomplete","")</f>
        <v/>
      </c>
      <c r="D12" s="46" t="str">
        <f>IF(AND(J12="",H12&gt;0),"incomplete","")</f>
        <v/>
      </c>
      <c r="E12" s="154"/>
      <c r="F12" s="155">
        <v>1</v>
      </c>
      <c r="G12" s="63"/>
      <c r="H12" s="157"/>
      <c r="I12" s="158"/>
      <c r="J12" s="283"/>
      <c r="K12" s="156" t="str">
        <f>IF(OR(H12="MCP",H12="SG",H12="PartB_MCP_&amp;/or_SG",H12="MCP_and_SG"),"see - https://www.gov.uk/guidance/medium-combustion-plant-and-specified-generators-environmental-permits","")</f>
        <v/>
      </c>
      <c r="L12" s="39"/>
      <c r="N12">
        <f>IF(OR(H12="Rhan_A2",H12="Rhan_B "),1,0)</f>
        <v>0</v>
      </c>
      <c r="O12">
        <f>COUNTIF(I12,"*cymhleth*")</f>
        <v>0</v>
      </c>
      <c r="P12">
        <f>COUNTIF(H12,"*RhanB_CHC*")</f>
        <v>0</v>
      </c>
      <c r="Q12">
        <f>IF(H12="Gweithgareddau_gwastraff_uniongyrchol_gysylltiedig",1,0)</f>
        <v>0</v>
      </c>
      <c r="S12">
        <f>IF(AND(N12=1,J12="Newydd"),1,0)</f>
        <v>0</v>
      </c>
      <c r="T12">
        <f>IF(AND(O12=1,J12="Newydd"),1,0)</f>
        <v>0</v>
      </c>
      <c r="U12">
        <f t="shared" ref="U12:V27" si="0">IF(AND(P12=1,K12="Newydd"),1,0)</f>
        <v>0</v>
      </c>
      <c r="V12">
        <f t="shared" si="0"/>
        <v>0</v>
      </c>
      <c r="X12">
        <f>IF(AND(N12=1,J12="wedi'I newid"),1,0)</f>
        <v>0</v>
      </c>
      <c r="Y12">
        <f t="shared" ref="Y12:AA27" si="1">IF(AND(O12=1,K12="wedi'I newid"),1,0)</f>
        <v>0</v>
      </c>
      <c r="Z12">
        <f t="shared" si="1"/>
        <v>0</v>
      </c>
      <c r="AA12">
        <f t="shared" si="1"/>
        <v>0</v>
      </c>
    </row>
    <row r="13" spans="2:27" ht="35.1" customHeight="1" x14ac:dyDescent="0.25">
      <c r="B13" s="46" t="str">
        <f t="shared" ref="B13:B31" si="2">IF(AND(G13="",H13&gt;0),"incomplete","")</f>
        <v/>
      </c>
      <c r="C13" s="46" t="str">
        <f t="shared" ref="C13:C31" si="3">IF(AND(I13="",H13&gt;0),"incomplete","")</f>
        <v/>
      </c>
      <c r="D13" s="46" t="str">
        <f t="shared" ref="D13:D31" si="4">IF(AND(J13="",H13&gt;0),"incomplete","")</f>
        <v/>
      </c>
      <c r="E13" s="154"/>
      <c r="F13" s="155">
        <v>2</v>
      </c>
      <c r="G13" s="63"/>
      <c r="H13" s="157"/>
      <c r="I13" s="158"/>
      <c r="J13" s="283"/>
      <c r="K13" s="156" t="str">
        <f t="shared" ref="K13:K31" si="5">IF(OR(H13="MCP",H13="SG",H13="PartB_MCP_&amp;/or_SG",H13="MCP_and_SG"),"see - https://www.gov.uk/guidance/medium-combustion-plant-and-specified-generators-environmental-permits","")</f>
        <v/>
      </c>
      <c r="L13" s="39"/>
      <c r="N13">
        <f t="shared" ref="N13:N31" si="6">IF(OR(H13="Rhan_A2",H13="Rhan_B "),1,0)</f>
        <v>0</v>
      </c>
      <c r="O13">
        <f t="shared" ref="O13:O31" si="7">COUNTIF(I13,"*cymhleth*")</f>
        <v>0</v>
      </c>
      <c r="P13">
        <f t="shared" ref="P13:P31" si="8">COUNTIF(H13,"*RhanB_CHC*")</f>
        <v>0</v>
      </c>
      <c r="Q13">
        <f t="shared" ref="Q13:Q31" si="9">IF(H13="Gweithgareddau_gwastraff_uniongyrchol_gysylltiedig",1,0)</f>
        <v>0</v>
      </c>
      <c r="S13">
        <f t="shared" ref="S13:S31" si="10">IF(AND(N13=1,J13="Newydd"),1,0)</f>
        <v>0</v>
      </c>
      <c r="T13">
        <f t="shared" ref="T13:T31" si="11">IF(AND(O13=1,J13="Newydd"),1,0)</f>
        <v>0</v>
      </c>
      <c r="U13">
        <f t="shared" si="0"/>
        <v>0</v>
      </c>
      <c r="V13">
        <f t="shared" si="0"/>
        <v>0</v>
      </c>
      <c r="X13">
        <f t="shared" ref="X13:X31" si="12">IF(AND(N13=1,J13="wedi'I newid"),1,0)</f>
        <v>0</v>
      </c>
      <c r="Y13">
        <f t="shared" si="1"/>
        <v>0</v>
      </c>
      <c r="Z13">
        <f t="shared" si="1"/>
        <v>0</v>
      </c>
      <c r="AA13">
        <f t="shared" si="1"/>
        <v>0</v>
      </c>
    </row>
    <row r="14" spans="2:27" ht="35.1" customHeight="1" x14ac:dyDescent="0.25">
      <c r="B14" s="46" t="str">
        <f t="shared" si="2"/>
        <v/>
      </c>
      <c r="C14" s="46" t="str">
        <f t="shared" si="3"/>
        <v/>
      </c>
      <c r="D14" s="46" t="str">
        <f t="shared" si="4"/>
        <v/>
      </c>
      <c r="E14" s="154"/>
      <c r="F14" s="155">
        <v>3</v>
      </c>
      <c r="G14" s="63"/>
      <c r="H14" s="157"/>
      <c r="I14" s="158"/>
      <c r="J14" s="283"/>
      <c r="K14" s="156" t="str">
        <f t="shared" si="5"/>
        <v/>
      </c>
      <c r="L14" s="39"/>
      <c r="N14">
        <f t="shared" si="6"/>
        <v>0</v>
      </c>
      <c r="O14">
        <f t="shared" si="7"/>
        <v>0</v>
      </c>
      <c r="P14">
        <f t="shared" si="8"/>
        <v>0</v>
      </c>
      <c r="Q14">
        <f t="shared" si="9"/>
        <v>0</v>
      </c>
      <c r="S14">
        <f t="shared" si="10"/>
        <v>0</v>
      </c>
      <c r="T14">
        <f t="shared" si="11"/>
        <v>0</v>
      </c>
      <c r="U14">
        <f t="shared" si="0"/>
        <v>0</v>
      </c>
      <c r="V14">
        <f t="shared" si="0"/>
        <v>0</v>
      </c>
      <c r="X14">
        <f t="shared" si="12"/>
        <v>0</v>
      </c>
      <c r="Y14">
        <f t="shared" si="1"/>
        <v>0</v>
      </c>
      <c r="Z14">
        <f t="shared" si="1"/>
        <v>0</v>
      </c>
      <c r="AA14">
        <f t="shared" si="1"/>
        <v>0</v>
      </c>
    </row>
    <row r="15" spans="2:27" ht="35.1" customHeight="1" x14ac:dyDescent="0.25">
      <c r="B15" s="46" t="str">
        <f t="shared" si="2"/>
        <v/>
      </c>
      <c r="C15" s="46" t="str">
        <f t="shared" si="3"/>
        <v/>
      </c>
      <c r="D15" s="46" t="str">
        <f t="shared" si="4"/>
        <v/>
      </c>
      <c r="E15" s="154"/>
      <c r="F15" s="155">
        <v>4</v>
      </c>
      <c r="G15" s="63"/>
      <c r="H15" s="157"/>
      <c r="I15" s="158"/>
      <c r="J15" s="283"/>
      <c r="K15" s="156" t="str">
        <f t="shared" si="5"/>
        <v/>
      </c>
      <c r="L15" s="39"/>
      <c r="N15">
        <f t="shared" si="6"/>
        <v>0</v>
      </c>
      <c r="O15">
        <f t="shared" si="7"/>
        <v>0</v>
      </c>
      <c r="P15">
        <f t="shared" si="8"/>
        <v>0</v>
      </c>
      <c r="Q15">
        <f t="shared" si="9"/>
        <v>0</v>
      </c>
      <c r="S15">
        <f t="shared" si="10"/>
        <v>0</v>
      </c>
      <c r="T15">
        <f t="shared" si="11"/>
        <v>0</v>
      </c>
      <c r="U15">
        <f t="shared" si="0"/>
        <v>0</v>
      </c>
      <c r="V15">
        <f t="shared" si="0"/>
        <v>0</v>
      </c>
      <c r="X15">
        <f t="shared" si="12"/>
        <v>0</v>
      </c>
      <c r="Y15">
        <f t="shared" si="1"/>
        <v>0</v>
      </c>
      <c r="Z15">
        <f t="shared" si="1"/>
        <v>0</v>
      </c>
      <c r="AA15">
        <f t="shared" si="1"/>
        <v>0</v>
      </c>
    </row>
    <row r="16" spans="2:27" ht="35.1" customHeight="1" x14ac:dyDescent="0.25">
      <c r="B16" s="46" t="str">
        <f t="shared" si="2"/>
        <v/>
      </c>
      <c r="C16" s="46" t="str">
        <f t="shared" si="3"/>
        <v/>
      </c>
      <c r="D16" s="46" t="str">
        <f t="shared" si="4"/>
        <v/>
      </c>
      <c r="E16" s="154"/>
      <c r="F16" s="155">
        <v>5</v>
      </c>
      <c r="G16" s="63"/>
      <c r="H16" s="157"/>
      <c r="I16" s="158"/>
      <c r="J16" s="283"/>
      <c r="K16" s="156" t="str">
        <f t="shared" si="5"/>
        <v/>
      </c>
      <c r="L16" s="39"/>
      <c r="N16">
        <f t="shared" si="6"/>
        <v>0</v>
      </c>
      <c r="O16">
        <f t="shared" si="7"/>
        <v>0</v>
      </c>
      <c r="P16">
        <f t="shared" si="8"/>
        <v>0</v>
      </c>
      <c r="Q16">
        <f t="shared" si="9"/>
        <v>0</v>
      </c>
      <c r="S16">
        <f t="shared" si="10"/>
        <v>0</v>
      </c>
      <c r="T16">
        <f t="shared" si="11"/>
        <v>0</v>
      </c>
      <c r="U16">
        <f t="shared" si="0"/>
        <v>0</v>
      </c>
      <c r="V16">
        <f t="shared" si="0"/>
        <v>0</v>
      </c>
      <c r="X16">
        <f t="shared" si="12"/>
        <v>0</v>
      </c>
      <c r="Y16">
        <f t="shared" si="1"/>
        <v>0</v>
      </c>
      <c r="Z16">
        <f t="shared" si="1"/>
        <v>0</v>
      </c>
      <c r="AA16">
        <f t="shared" si="1"/>
        <v>0</v>
      </c>
    </row>
    <row r="17" spans="2:27" ht="35.1" customHeight="1" x14ac:dyDescent="0.25">
      <c r="B17" s="46" t="str">
        <f t="shared" si="2"/>
        <v/>
      </c>
      <c r="C17" s="46" t="str">
        <f t="shared" si="3"/>
        <v/>
      </c>
      <c r="D17" s="46" t="str">
        <f t="shared" si="4"/>
        <v/>
      </c>
      <c r="E17" s="154"/>
      <c r="F17" s="155">
        <v>6</v>
      </c>
      <c r="G17" s="63"/>
      <c r="H17" s="157"/>
      <c r="I17" s="158"/>
      <c r="J17" s="283"/>
      <c r="K17" s="156" t="str">
        <f t="shared" si="5"/>
        <v/>
      </c>
      <c r="L17" s="39"/>
      <c r="N17">
        <f t="shared" si="6"/>
        <v>0</v>
      </c>
      <c r="O17">
        <f t="shared" si="7"/>
        <v>0</v>
      </c>
      <c r="P17">
        <f t="shared" si="8"/>
        <v>0</v>
      </c>
      <c r="Q17">
        <f t="shared" si="9"/>
        <v>0</v>
      </c>
      <c r="S17">
        <f t="shared" si="10"/>
        <v>0</v>
      </c>
      <c r="T17">
        <f t="shared" si="11"/>
        <v>0</v>
      </c>
      <c r="U17">
        <f t="shared" si="0"/>
        <v>0</v>
      </c>
      <c r="V17">
        <f t="shared" si="0"/>
        <v>0</v>
      </c>
      <c r="X17">
        <f t="shared" si="12"/>
        <v>0</v>
      </c>
      <c r="Y17">
        <f t="shared" si="1"/>
        <v>0</v>
      </c>
      <c r="Z17">
        <f t="shared" si="1"/>
        <v>0</v>
      </c>
      <c r="AA17">
        <f t="shared" si="1"/>
        <v>0</v>
      </c>
    </row>
    <row r="18" spans="2:27" ht="35.1" customHeight="1" x14ac:dyDescent="0.25">
      <c r="B18" s="46" t="str">
        <f t="shared" si="2"/>
        <v/>
      </c>
      <c r="C18" s="46" t="str">
        <f t="shared" si="3"/>
        <v/>
      </c>
      <c r="D18" s="46" t="str">
        <f t="shared" si="4"/>
        <v/>
      </c>
      <c r="E18" s="154"/>
      <c r="F18" s="155">
        <v>7</v>
      </c>
      <c r="G18" s="63"/>
      <c r="H18" s="157"/>
      <c r="I18" s="158"/>
      <c r="J18" s="283"/>
      <c r="K18" s="156" t="str">
        <f t="shared" si="5"/>
        <v/>
      </c>
      <c r="L18" s="39"/>
      <c r="N18">
        <f t="shared" si="6"/>
        <v>0</v>
      </c>
      <c r="O18">
        <f t="shared" si="7"/>
        <v>0</v>
      </c>
      <c r="P18">
        <f t="shared" si="8"/>
        <v>0</v>
      </c>
      <c r="Q18">
        <f t="shared" si="9"/>
        <v>0</v>
      </c>
      <c r="S18">
        <f t="shared" si="10"/>
        <v>0</v>
      </c>
      <c r="T18">
        <f t="shared" si="11"/>
        <v>0</v>
      </c>
      <c r="U18">
        <f t="shared" si="0"/>
        <v>0</v>
      </c>
      <c r="V18">
        <f t="shared" si="0"/>
        <v>0</v>
      </c>
      <c r="X18">
        <f t="shared" si="12"/>
        <v>0</v>
      </c>
      <c r="Y18">
        <f t="shared" si="1"/>
        <v>0</v>
      </c>
      <c r="Z18">
        <f t="shared" si="1"/>
        <v>0</v>
      </c>
      <c r="AA18">
        <f t="shared" si="1"/>
        <v>0</v>
      </c>
    </row>
    <row r="19" spans="2:27" ht="35.1" customHeight="1" x14ac:dyDescent="0.25">
      <c r="B19" s="46" t="str">
        <f t="shared" si="2"/>
        <v/>
      </c>
      <c r="C19" s="46" t="str">
        <f t="shared" si="3"/>
        <v/>
      </c>
      <c r="D19" s="46" t="str">
        <f t="shared" si="4"/>
        <v/>
      </c>
      <c r="E19" s="154"/>
      <c r="F19" s="155">
        <v>8</v>
      </c>
      <c r="G19" s="63"/>
      <c r="H19" s="157"/>
      <c r="I19" s="158"/>
      <c r="J19" s="283"/>
      <c r="K19" s="156" t="str">
        <f t="shared" si="5"/>
        <v/>
      </c>
      <c r="L19" s="39"/>
      <c r="N19">
        <f t="shared" si="6"/>
        <v>0</v>
      </c>
      <c r="O19">
        <f t="shared" si="7"/>
        <v>0</v>
      </c>
      <c r="P19">
        <f t="shared" si="8"/>
        <v>0</v>
      </c>
      <c r="Q19">
        <f t="shared" si="9"/>
        <v>0</v>
      </c>
      <c r="S19">
        <f t="shared" si="10"/>
        <v>0</v>
      </c>
      <c r="T19">
        <f t="shared" si="11"/>
        <v>0</v>
      </c>
      <c r="U19">
        <f t="shared" si="0"/>
        <v>0</v>
      </c>
      <c r="V19">
        <f t="shared" si="0"/>
        <v>0</v>
      </c>
      <c r="X19">
        <f t="shared" si="12"/>
        <v>0</v>
      </c>
      <c r="Y19">
        <f t="shared" si="1"/>
        <v>0</v>
      </c>
      <c r="Z19">
        <f t="shared" si="1"/>
        <v>0</v>
      </c>
      <c r="AA19">
        <f t="shared" si="1"/>
        <v>0</v>
      </c>
    </row>
    <row r="20" spans="2:27" ht="35.1" customHeight="1" x14ac:dyDescent="0.25">
      <c r="B20" s="46" t="str">
        <f t="shared" si="2"/>
        <v/>
      </c>
      <c r="C20" s="46" t="str">
        <f t="shared" si="3"/>
        <v/>
      </c>
      <c r="D20" s="46" t="str">
        <f t="shared" si="4"/>
        <v/>
      </c>
      <c r="E20" s="154"/>
      <c r="F20" s="155">
        <v>9</v>
      </c>
      <c r="G20" s="63"/>
      <c r="H20" s="157"/>
      <c r="I20" s="158"/>
      <c r="J20" s="283"/>
      <c r="K20" s="156" t="str">
        <f t="shared" si="5"/>
        <v/>
      </c>
      <c r="L20" s="39"/>
      <c r="N20">
        <f t="shared" si="6"/>
        <v>0</v>
      </c>
      <c r="O20">
        <f t="shared" si="7"/>
        <v>0</v>
      </c>
      <c r="P20">
        <f t="shared" si="8"/>
        <v>0</v>
      </c>
      <c r="Q20">
        <f t="shared" si="9"/>
        <v>0</v>
      </c>
      <c r="S20">
        <f t="shared" si="10"/>
        <v>0</v>
      </c>
      <c r="T20">
        <f t="shared" si="11"/>
        <v>0</v>
      </c>
      <c r="U20">
        <f t="shared" si="0"/>
        <v>0</v>
      </c>
      <c r="V20">
        <f t="shared" si="0"/>
        <v>0</v>
      </c>
      <c r="X20">
        <f t="shared" si="12"/>
        <v>0</v>
      </c>
      <c r="Y20">
        <f t="shared" si="1"/>
        <v>0</v>
      </c>
      <c r="Z20">
        <f t="shared" si="1"/>
        <v>0</v>
      </c>
      <c r="AA20">
        <f t="shared" si="1"/>
        <v>0</v>
      </c>
    </row>
    <row r="21" spans="2:27" ht="35.1" customHeight="1" x14ac:dyDescent="0.25">
      <c r="B21" s="46" t="str">
        <f t="shared" si="2"/>
        <v/>
      </c>
      <c r="C21" s="46" t="str">
        <f t="shared" si="3"/>
        <v/>
      </c>
      <c r="D21" s="46" t="str">
        <f t="shared" si="4"/>
        <v/>
      </c>
      <c r="E21" s="154"/>
      <c r="F21" s="155">
        <v>10</v>
      </c>
      <c r="G21" s="63"/>
      <c r="H21" s="157"/>
      <c r="I21" s="158"/>
      <c r="J21" s="283"/>
      <c r="K21" s="156" t="str">
        <f t="shared" si="5"/>
        <v/>
      </c>
      <c r="L21" s="39"/>
      <c r="N21">
        <f t="shared" si="6"/>
        <v>0</v>
      </c>
      <c r="O21">
        <f t="shared" si="7"/>
        <v>0</v>
      </c>
      <c r="P21">
        <f t="shared" si="8"/>
        <v>0</v>
      </c>
      <c r="Q21">
        <f t="shared" si="9"/>
        <v>0</v>
      </c>
      <c r="S21">
        <f t="shared" si="10"/>
        <v>0</v>
      </c>
      <c r="T21">
        <f t="shared" si="11"/>
        <v>0</v>
      </c>
      <c r="U21">
        <f t="shared" si="0"/>
        <v>0</v>
      </c>
      <c r="V21">
        <f t="shared" si="0"/>
        <v>0</v>
      </c>
      <c r="X21">
        <f t="shared" si="12"/>
        <v>0</v>
      </c>
      <c r="Y21">
        <f t="shared" si="1"/>
        <v>0</v>
      </c>
      <c r="Z21">
        <f t="shared" si="1"/>
        <v>0</v>
      </c>
      <c r="AA21">
        <f t="shared" si="1"/>
        <v>0</v>
      </c>
    </row>
    <row r="22" spans="2:27" ht="35.1" customHeight="1" x14ac:dyDescent="0.25">
      <c r="B22" s="46" t="str">
        <f t="shared" si="2"/>
        <v/>
      </c>
      <c r="C22" s="46" t="str">
        <f t="shared" si="3"/>
        <v/>
      </c>
      <c r="D22" s="46" t="str">
        <f t="shared" si="4"/>
        <v/>
      </c>
      <c r="E22" s="154"/>
      <c r="F22" s="155">
        <v>11</v>
      </c>
      <c r="G22" s="63"/>
      <c r="H22" s="157"/>
      <c r="I22" s="158"/>
      <c r="J22" s="283"/>
      <c r="K22" s="156" t="str">
        <f t="shared" si="5"/>
        <v/>
      </c>
      <c r="L22" s="39"/>
      <c r="N22">
        <f t="shared" si="6"/>
        <v>0</v>
      </c>
      <c r="O22">
        <f t="shared" si="7"/>
        <v>0</v>
      </c>
      <c r="P22">
        <f t="shared" si="8"/>
        <v>0</v>
      </c>
      <c r="Q22">
        <f t="shared" si="9"/>
        <v>0</v>
      </c>
      <c r="S22">
        <f t="shared" si="10"/>
        <v>0</v>
      </c>
      <c r="T22">
        <f t="shared" si="11"/>
        <v>0</v>
      </c>
      <c r="U22">
        <f t="shared" si="0"/>
        <v>0</v>
      </c>
      <c r="V22">
        <f t="shared" si="0"/>
        <v>0</v>
      </c>
      <c r="X22">
        <f t="shared" si="12"/>
        <v>0</v>
      </c>
      <c r="Y22">
        <f t="shared" si="1"/>
        <v>0</v>
      </c>
      <c r="Z22">
        <f t="shared" si="1"/>
        <v>0</v>
      </c>
      <c r="AA22">
        <f t="shared" si="1"/>
        <v>0</v>
      </c>
    </row>
    <row r="23" spans="2:27" ht="35.1" customHeight="1" x14ac:dyDescent="0.25">
      <c r="B23" s="46" t="str">
        <f t="shared" si="2"/>
        <v/>
      </c>
      <c r="C23" s="46" t="str">
        <f t="shared" si="3"/>
        <v/>
      </c>
      <c r="D23" s="46" t="str">
        <f t="shared" si="4"/>
        <v/>
      </c>
      <c r="E23" s="154"/>
      <c r="F23" s="155">
        <v>12</v>
      </c>
      <c r="G23" s="63"/>
      <c r="H23" s="157"/>
      <c r="I23" s="158"/>
      <c r="J23" s="283"/>
      <c r="K23" s="156" t="str">
        <f t="shared" si="5"/>
        <v/>
      </c>
      <c r="L23" s="39"/>
      <c r="N23">
        <f t="shared" si="6"/>
        <v>0</v>
      </c>
      <c r="O23">
        <f t="shared" si="7"/>
        <v>0</v>
      </c>
      <c r="P23">
        <f t="shared" si="8"/>
        <v>0</v>
      </c>
      <c r="Q23">
        <f t="shared" si="9"/>
        <v>0</v>
      </c>
      <c r="S23">
        <f t="shared" si="10"/>
        <v>0</v>
      </c>
      <c r="T23">
        <f t="shared" si="11"/>
        <v>0</v>
      </c>
      <c r="U23">
        <f t="shared" si="0"/>
        <v>0</v>
      </c>
      <c r="V23">
        <f t="shared" si="0"/>
        <v>0</v>
      </c>
      <c r="X23">
        <f t="shared" si="12"/>
        <v>0</v>
      </c>
      <c r="Y23">
        <f t="shared" si="1"/>
        <v>0</v>
      </c>
      <c r="Z23">
        <f t="shared" si="1"/>
        <v>0</v>
      </c>
      <c r="AA23">
        <f t="shared" si="1"/>
        <v>0</v>
      </c>
    </row>
    <row r="24" spans="2:27" ht="35.1" customHeight="1" x14ac:dyDescent="0.25">
      <c r="B24" s="46" t="str">
        <f t="shared" si="2"/>
        <v/>
      </c>
      <c r="C24" s="46" t="str">
        <f t="shared" si="3"/>
        <v/>
      </c>
      <c r="D24" s="46" t="str">
        <f t="shared" si="4"/>
        <v/>
      </c>
      <c r="E24" s="154"/>
      <c r="F24" s="155">
        <v>13</v>
      </c>
      <c r="G24" s="63"/>
      <c r="H24" s="157"/>
      <c r="I24" s="158"/>
      <c r="J24" s="283"/>
      <c r="K24" s="156" t="str">
        <f t="shared" si="5"/>
        <v/>
      </c>
      <c r="L24" s="39"/>
      <c r="N24">
        <f t="shared" si="6"/>
        <v>0</v>
      </c>
      <c r="O24">
        <f t="shared" si="7"/>
        <v>0</v>
      </c>
      <c r="P24">
        <f t="shared" si="8"/>
        <v>0</v>
      </c>
      <c r="Q24">
        <f t="shared" si="9"/>
        <v>0</v>
      </c>
      <c r="S24">
        <f t="shared" si="10"/>
        <v>0</v>
      </c>
      <c r="T24">
        <f t="shared" si="11"/>
        <v>0</v>
      </c>
      <c r="U24">
        <f t="shared" si="0"/>
        <v>0</v>
      </c>
      <c r="V24">
        <f t="shared" si="0"/>
        <v>0</v>
      </c>
      <c r="X24">
        <f t="shared" si="12"/>
        <v>0</v>
      </c>
      <c r="Y24">
        <f t="shared" si="1"/>
        <v>0</v>
      </c>
      <c r="Z24">
        <f t="shared" si="1"/>
        <v>0</v>
      </c>
      <c r="AA24">
        <f t="shared" si="1"/>
        <v>0</v>
      </c>
    </row>
    <row r="25" spans="2:27" ht="35.1" customHeight="1" x14ac:dyDescent="0.25">
      <c r="B25" s="46" t="str">
        <f t="shared" si="2"/>
        <v/>
      </c>
      <c r="C25" s="46" t="str">
        <f t="shared" si="3"/>
        <v/>
      </c>
      <c r="D25" s="46" t="str">
        <f t="shared" si="4"/>
        <v/>
      </c>
      <c r="E25" s="154"/>
      <c r="F25" s="155">
        <v>14</v>
      </c>
      <c r="G25" s="63"/>
      <c r="H25" s="157"/>
      <c r="I25" s="158"/>
      <c r="J25" s="283"/>
      <c r="K25" s="156" t="str">
        <f t="shared" si="5"/>
        <v/>
      </c>
      <c r="L25" s="39"/>
      <c r="N25">
        <f t="shared" si="6"/>
        <v>0</v>
      </c>
      <c r="O25">
        <f t="shared" si="7"/>
        <v>0</v>
      </c>
      <c r="P25">
        <f t="shared" si="8"/>
        <v>0</v>
      </c>
      <c r="Q25">
        <f t="shared" si="9"/>
        <v>0</v>
      </c>
      <c r="S25">
        <f t="shared" si="10"/>
        <v>0</v>
      </c>
      <c r="T25">
        <f t="shared" si="11"/>
        <v>0</v>
      </c>
      <c r="U25">
        <f t="shared" si="0"/>
        <v>0</v>
      </c>
      <c r="V25">
        <f t="shared" si="0"/>
        <v>0</v>
      </c>
      <c r="X25">
        <f t="shared" si="12"/>
        <v>0</v>
      </c>
      <c r="Y25">
        <f t="shared" si="1"/>
        <v>0</v>
      </c>
      <c r="Z25">
        <f t="shared" si="1"/>
        <v>0</v>
      </c>
      <c r="AA25">
        <f t="shared" si="1"/>
        <v>0</v>
      </c>
    </row>
    <row r="26" spans="2:27" ht="35.1" customHeight="1" x14ac:dyDescent="0.25">
      <c r="B26" s="46" t="str">
        <f t="shared" si="2"/>
        <v/>
      </c>
      <c r="C26" s="46" t="str">
        <f t="shared" si="3"/>
        <v/>
      </c>
      <c r="D26" s="46" t="str">
        <f t="shared" si="4"/>
        <v/>
      </c>
      <c r="E26" s="154"/>
      <c r="F26" s="155">
        <v>15</v>
      </c>
      <c r="G26" s="63"/>
      <c r="H26" s="157"/>
      <c r="I26" s="158"/>
      <c r="J26" s="283"/>
      <c r="K26" s="156" t="str">
        <f t="shared" si="5"/>
        <v/>
      </c>
      <c r="L26" s="39"/>
      <c r="N26">
        <f t="shared" si="6"/>
        <v>0</v>
      </c>
      <c r="O26">
        <f t="shared" si="7"/>
        <v>0</v>
      </c>
      <c r="P26">
        <f t="shared" si="8"/>
        <v>0</v>
      </c>
      <c r="Q26">
        <f t="shared" si="9"/>
        <v>0</v>
      </c>
      <c r="S26">
        <f t="shared" si="10"/>
        <v>0</v>
      </c>
      <c r="T26">
        <f t="shared" si="11"/>
        <v>0</v>
      </c>
      <c r="U26">
        <f t="shared" si="0"/>
        <v>0</v>
      </c>
      <c r="V26">
        <f t="shared" si="0"/>
        <v>0</v>
      </c>
      <c r="X26">
        <f t="shared" si="12"/>
        <v>0</v>
      </c>
      <c r="Y26">
        <f t="shared" si="1"/>
        <v>0</v>
      </c>
      <c r="Z26">
        <f t="shared" si="1"/>
        <v>0</v>
      </c>
      <c r="AA26">
        <f t="shared" si="1"/>
        <v>0</v>
      </c>
    </row>
    <row r="27" spans="2:27" ht="35.1" customHeight="1" x14ac:dyDescent="0.25">
      <c r="B27" s="46" t="str">
        <f t="shared" si="2"/>
        <v/>
      </c>
      <c r="C27" s="46" t="str">
        <f t="shared" si="3"/>
        <v/>
      </c>
      <c r="D27" s="46" t="str">
        <f t="shared" si="4"/>
        <v/>
      </c>
      <c r="E27" s="154"/>
      <c r="F27" s="155">
        <v>16</v>
      </c>
      <c r="G27" s="63"/>
      <c r="H27" s="157"/>
      <c r="I27" s="158"/>
      <c r="J27" s="283"/>
      <c r="K27" s="156" t="str">
        <f t="shared" si="5"/>
        <v/>
      </c>
      <c r="L27" s="39"/>
      <c r="N27">
        <f t="shared" si="6"/>
        <v>0</v>
      </c>
      <c r="O27">
        <f t="shared" si="7"/>
        <v>0</v>
      </c>
      <c r="P27">
        <f t="shared" si="8"/>
        <v>0</v>
      </c>
      <c r="Q27">
        <f t="shared" si="9"/>
        <v>0</v>
      </c>
      <c r="S27">
        <f t="shared" si="10"/>
        <v>0</v>
      </c>
      <c r="T27">
        <f t="shared" si="11"/>
        <v>0</v>
      </c>
      <c r="U27">
        <f t="shared" si="0"/>
        <v>0</v>
      </c>
      <c r="V27">
        <f t="shared" si="0"/>
        <v>0</v>
      </c>
      <c r="X27">
        <f t="shared" si="12"/>
        <v>0</v>
      </c>
      <c r="Y27">
        <f t="shared" si="1"/>
        <v>0</v>
      </c>
      <c r="Z27">
        <f t="shared" si="1"/>
        <v>0</v>
      </c>
      <c r="AA27">
        <f t="shared" si="1"/>
        <v>0</v>
      </c>
    </row>
    <row r="28" spans="2:27" ht="35.1" customHeight="1" x14ac:dyDescent="0.25">
      <c r="B28" s="46" t="str">
        <f t="shared" si="2"/>
        <v/>
      </c>
      <c r="C28" s="46" t="str">
        <f t="shared" si="3"/>
        <v/>
      </c>
      <c r="D28" s="46" t="str">
        <f t="shared" si="4"/>
        <v/>
      </c>
      <c r="E28" s="154"/>
      <c r="F28" s="155">
        <v>17</v>
      </c>
      <c r="G28" s="63"/>
      <c r="H28" s="157"/>
      <c r="I28" s="158"/>
      <c r="J28" s="283"/>
      <c r="K28" s="156" t="str">
        <f t="shared" si="5"/>
        <v/>
      </c>
      <c r="L28" s="39"/>
      <c r="N28">
        <f t="shared" si="6"/>
        <v>0</v>
      </c>
      <c r="O28">
        <f t="shared" si="7"/>
        <v>0</v>
      </c>
      <c r="P28">
        <f t="shared" si="8"/>
        <v>0</v>
      </c>
      <c r="Q28">
        <f t="shared" si="9"/>
        <v>0</v>
      </c>
      <c r="S28">
        <f t="shared" si="10"/>
        <v>0</v>
      </c>
      <c r="T28">
        <f t="shared" si="11"/>
        <v>0</v>
      </c>
      <c r="U28">
        <f t="shared" ref="U28:U31" si="13">IF(AND(P28=1,K28="Newydd"),1,0)</f>
        <v>0</v>
      </c>
      <c r="V28">
        <f t="shared" ref="V28:V31" si="14">IF(AND(Q28=1,L28="Newydd"),1,0)</f>
        <v>0</v>
      </c>
      <c r="X28">
        <f t="shared" si="12"/>
        <v>0</v>
      </c>
      <c r="Y28">
        <f t="shared" ref="Y28:Y31" si="15">IF(AND(O28=1,K28="wedi'I newid"),1,0)</f>
        <v>0</v>
      </c>
      <c r="Z28">
        <f t="shared" ref="Z28:Z31" si="16">IF(AND(P28=1,L28="wedi'I newid"),1,0)</f>
        <v>0</v>
      </c>
      <c r="AA28">
        <f t="shared" ref="AA28:AA31" si="17">IF(AND(Q28=1,M28="wedi'I newid"),1,0)</f>
        <v>0</v>
      </c>
    </row>
    <row r="29" spans="2:27" ht="35.1" customHeight="1" x14ac:dyDescent="0.25">
      <c r="B29" s="46" t="str">
        <f t="shared" si="2"/>
        <v/>
      </c>
      <c r="C29" s="46" t="str">
        <f t="shared" si="3"/>
        <v/>
      </c>
      <c r="D29" s="46" t="str">
        <f t="shared" si="4"/>
        <v/>
      </c>
      <c r="E29" s="154"/>
      <c r="F29" s="155">
        <v>18</v>
      </c>
      <c r="G29" s="63"/>
      <c r="H29" s="157"/>
      <c r="I29" s="158"/>
      <c r="J29" s="283"/>
      <c r="K29" s="156" t="str">
        <f t="shared" si="5"/>
        <v/>
      </c>
      <c r="L29" s="39"/>
      <c r="N29">
        <f t="shared" si="6"/>
        <v>0</v>
      </c>
      <c r="O29">
        <f t="shared" si="7"/>
        <v>0</v>
      </c>
      <c r="P29">
        <f t="shared" si="8"/>
        <v>0</v>
      </c>
      <c r="Q29">
        <f t="shared" si="9"/>
        <v>0</v>
      </c>
      <c r="S29">
        <f t="shared" si="10"/>
        <v>0</v>
      </c>
      <c r="T29">
        <f t="shared" si="11"/>
        <v>0</v>
      </c>
      <c r="U29">
        <f t="shared" si="13"/>
        <v>0</v>
      </c>
      <c r="V29">
        <f t="shared" si="14"/>
        <v>0</v>
      </c>
      <c r="X29">
        <f t="shared" si="12"/>
        <v>0</v>
      </c>
      <c r="Y29">
        <f t="shared" si="15"/>
        <v>0</v>
      </c>
      <c r="Z29">
        <f t="shared" si="16"/>
        <v>0</v>
      </c>
      <c r="AA29">
        <f t="shared" si="17"/>
        <v>0</v>
      </c>
    </row>
    <row r="30" spans="2:27" ht="35.1" customHeight="1" x14ac:dyDescent="0.25">
      <c r="B30" s="46" t="str">
        <f t="shared" si="2"/>
        <v/>
      </c>
      <c r="C30" s="46" t="str">
        <f t="shared" si="3"/>
        <v/>
      </c>
      <c r="D30" s="46" t="str">
        <f t="shared" si="4"/>
        <v/>
      </c>
      <c r="E30" s="154"/>
      <c r="F30" s="155">
        <v>19</v>
      </c>
      <c r="G30" s="63"/>
      <c r="H30" s="157"/>
      <c r="I30" s="158"/>
      <c r="J30" s="283"/>
      <c r="K30" s="156" t="str">
        <f t="shared" si="5"/>
        <v/>
      </c>
      <c r="L30" s="39"/>
      <c r="N30">
        <f t="shared" si="6"/>
        <v>0</v>
      </c>
      <c r="O30">
        <f t="shared" si="7"/>
        <v>0</v>
      </c>
      <c r="P30">
        <f t="shared" si="8"/>
        <v>0</v>
      </c>
      <c r="Q30">
        <f t="shared" si="9"/>
        <v>0</v>
      </c>
      <c r="S30">
        <f t="shared" si="10"/>
        <v>0</v>
      </c>
      <c r="T30">
        <f t="shared" si="11"/>
        <v>0</v>
      </c>
      <c r="U30">
        <f t="shared" si="13"/>
        <v>0</v>
      </c>
      <c r="V30">
        <f t="shared" si="14"/>
        <v>0</v>
      </c>
      <c r="X30">
        <f t="shared" si="12"/>
        <v>0</v>
      </c>
      <c r="Y30">
        <f t="shared" si="15"/>
        <v>0</v>
      </c>
      <c r="Z30">
        <f t="shared" si="16"/>
        <v>0</v>
      </c>
      <c r="AA30">
        <f t="shared" si="17"/>
        <v>0</v>
      </c>
    </row>
    <row r="31" spans="2:27" ht="35.1" customHeight="1" x14ac:dyDescent="0.25">
      <c r="B31" s="47" t="str">
        <f t="shared" si="2"/>
        <v/>
      </c>
      <c r="C31" s="46" t="str">
        <f t="shared" si="3"/>
        <v/>
      </c>
      <c r="D31" s="46" t="str">
        <f t="shared" si="4"/>
        <v/>
      </c>
      <c r="E31" s="154"/>
      <c r="F31" s="155">
        <v>20</v>
      </c>
      <c r="G31" s="63"/>
      <c r="H31" s="157"/>
      <c r="I31" s="158"/>
      <c r="J31" s="283"/>
      <c r="K31" s="156" t="str">
        <f t="shared" si="5"/>
        <v/>
      </c>
      <c r="L31" s="39"/>
      <c r="N31">
        <f t="shared" si="6"/>
        <v>0</v>
      </c>
      <c r="O31">
        <f t="shared" si="7"/>
        <v>0</v>
      </c>
      <c r="P31">
        <f t="shared" si="8"/>
        <v>0</v>
      </c>
      <c r="Q31">
        <f t="shared" si="9"/>
        <v>0</v>
      </c>
      <c r="S31">
        <f t="shared" si="10"/>
        <v>0</v>
      </c>
      <c r="T31">
        <f t="shared" si="11"/>
        <v>0</v>
      </c>
      <c r="U31">
        <f t="shared" si="13"/>
        <v>0</v>
      </c>
      <c r="V31">
        <f t="shared" si="14"/>
        <v>0</v>
      </c>
      <c r="X31">
        <f t="shared" si="12"/>
        <v>0</v>
      </c>
      <c r="Y31">
        <f t="shared" si="15"/>
        <v>0</v>
      </c>
      <c r="Z31">
        <f t="shared" si="16"/>
        <v>0</v>
      </c>
      <c r="AA31">
        <f t="shared" si="17"/>
        <v>0</v>
      </c>
    </row>
    <row r="32" spans="2:27" x14ac:dyDescent="0.25">
      <c r="B32" s="19"/>
      <c r="C32" s="19"/>
      <c r="D32" s="19"/>
      <c r="E32" s="19"/>
      <c r="F32" s="53"/>
      <c r="G32" s="43"/>
      <c r="H32" s="43"/>
      <c r="I32" s="20"/>
      <c r="J32" s="20"/>
      <c r="K32" s="20"/>
      <c r="L32" s="39"/>
    </row>
    <row r="33" spans="2:27" x14ac:dyDescent="0.25">
      <c r="B33" s="19"/>
      <c r="C33" s="19"/>
      <c r="D33" s="19"/>
      <c r="E33" s="19"/>
      <c r="F33" s="53"/>
      <c r="G33" s="497"/>
      <c r="H33" s="497"/>
      <c r="I33" s="20"/>
      <c r="J33" s="20"/>
      <c r="K33" s="20"/>
      <c r="L33" s="39"/>
      <c r="S33" s="54">
        <f t="shared" ref="S33:AA33" si="18">SUM(S12:S32)</f>
        <v>0</v>
      </c>
      <c r="T33" s="54">
        <f t="shared" si="18"/>
        <v>0</v>
      </c>
      <c r="U33" s="54">
        <f t="shared" si="18"/>
        <v>0</v>
      </c>
      <c r="V33" s="54">
        <f t="shared" si="18"/>
        <v>0</v>
      </c>
      <c r="W33" s="54"/>
      <c r="X33" s="54">
        <f t="shared" si="18"/>
        <v>0</v>
      </c>
      <c r="Y33" s="54">
        <f t="shared" si="18"/>
        <v>0</v>
      </c>
      <c r="Z33" s="54">
        <f t="shared" si="18"/>
        <v>0</v>
      </c>
      <c r="AA33" s="54">
        <f t="shared" si="18"/>
        <v>0</v>
      </c>
    </row>
    <row r="34" spans="2:27" ht="15.75" thickBot="1" x14ac:dyDescent="0.3">
      <c r="B34" s="26"/>
      <c r="C34" s="26"/>
      <c r="D34" s="26"/>
      <c r="E34" s="26"/>
      <c r="F34" s="40"/>
      <c r="G34" s="38"/>
      <c r="H34" s="27"/>
      <c r="I34" s="27"/>
      <c r="J34" s="27"/>
      <c r="K34" s="27"/>
      <c r="L34" s="29"/>
    </row>
  </sheetData>
  <sheetProtection algorithmName="SHA-512" hashValue="/0DN8rBjM1qphXhOquOF/QmMYj1rKbN/+lz0N2TmpnEOPA4n40mQtX8AAnUAOfpS06l2/8tBDn5PDHA5ko5Z+A==" saltValue="iQKaqTVNcCvnL75ODjN3Vg==" spinCount="100000" sheet="1" objects="1" scenarios="1"/>
  <mergeCells count="10">
    <mergeCell ref="S9:V9"/>
    <mergeCell ref="X9:AA9"/>
    <mergeCell ref="E3:L3"/>
    <mergeCell ref="G33:H33"/>
    <mergeCell ref="H4:I4"/>
    <mergeCell ref="F5:G5"/>
    <mergeCell ref="H5:I5"/>
    <mergeCell ref="F6:G6"/>
    <mergeCell ref="H6:I6"/>
    <mergeCell ref="F9:K9"/>
  </mergeCells>
  <conditionalFormatting sqref="J11">
    <cfRule type="containsText" dxfId="22" priority="1" operator="containsText" text="incomplete">
      <formula>NOT(ISERROR(SEARCH("incomplete",J11)))</formula>
    </cfRule>
    <cfRule type="containsText" dxfId="21" priority="2" operator="containsText" text="complete">
      <formula>NOT(ISERROR(SEARCH("complete",J11)))</formula>
    </cfRule>
  </conditionalFormatting>
  <conditionalFormatting sqref="K12:K31">
    <cfRule type="notContainsBlanks" dxfId="20" priority="4">
      <formula>LEN(TRIM(K12))&gt;0</formula>
    </cfRule>
  </conditionalFormatting>
  <dataValidations count="4">
    <dataValidation type="list" allowBlank="1" errorTitle="Select From List" prompt="Select from List" sqref="H12:H31" xr:uid="{00000000-0002-0000-0800-000000000000}">
      <formula1>category</formula1>
    </dataValidation>
    <dataValidation type="list" allowBlank="1" errorTitle="Select From List" prompt="Select from List" sqref="I12:I31" xr:uid="{00000000-0002-0000-0800-000001000000}">
      <formula1>INDIRECT(H12)</formula1>
    </dataValidation>
    <dataValidation allowBlank="1" errorTitle="Select From List" prompt="Select from List" sqref="H32:J33 K12:K33" xr:uid="{00000000-0002-0000-0800-000002000000}"/>
    <dataValidation allowBlank="1" sqref="K34" xr:uid="{00000000-0002-0000-0800-000003000000}"/>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list" allowBlank="1" errorTitle="Select From List" prompt="Select from List" xr:uid="{00000000-0002-0000-0800-000004000000}">
          <x14:formula1>
            <xm:f>Picklists!$AK$2:$AK$3</xm:f>
          </x14:formula1>
          <xm:sqref>J12:J31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4C11-565D-49DF-9071-742EFD33B55F}">
  <sheetPr>
    <tabColor theme="9" tint="0.59996337778862885"/>
  </sheetPr>
  <dimension ref="A1:AL88"/>
  <sheetViews>
    <sheetView workbookViewId="0">
      <selection activeCell="J69" sqref="J69"/>
    </sheetView>
  </sheetViews>
  <sheetFormatPr defaultRowHeight="15" x14ac:dyDescent="0.25"/>
  <cols>
    <col min="1" max="1" width="9.140625" customWidth="1"/>
    <col min="2" max="2" width="3.140625" customWidth="1"/>
    <col min="3" max="3" width="14.7109375" customWidth="1"/>
    <col min="4" max="4" width="5.42578125" customWidth="1"/>
    <col min="5" max="5" width="73.42578125" customWidth="1"/>
    <col min="6" max="6" width="12.5703125" customWidth="1"/>
    <col min="7" max="7" width="11.85546875" hidden="1" customWidth="1"/>
    <col min="8" max="8" width="14.28515625" hidden="1" customWidth="1"/>
    <col min="9" max="9" width="24.42578125" customWidth="1"/>
    <col min="10" max="10" width="13.85546875" customWidth="1"/>
    <col min="11" max="11" width="11" hidden="1" customWidth="1"/>
    <col min="12" max="12" width="3.85546875" customWidth="1"/>
    <col min="13" max="13" width="12.85546875" customWidth="1"/>
    <col min="14" max="14" width="11.28515625" customWidth="1"/>
    <col min="15" max="15" width="11.5703125" customWidth="1"/>
    <col min="16" max="16" width="10.42578125" customWidth="1"/>
    <col min="17" max="17" width="10.7109375" customWidth="1"/>
    <col min="18" max="19" width="9.5703125" style="51" hidden="1" customWidth="1"/>
    <col min="20" max="20" width="11.28515625" customWidth="1"/>
    <col min="21" max="24" width="9.140625" customWidth="1"/>
    <col min="25" max="27" width="8.7109375" customWidth="1"/>
    <col min="28" max="38" width="9.140625" customWidth="1"/>
  </cols>
  <sheetData>
    <row r="1" spans="1:38" ht="15.75" thickBot="1" x14ac:dyDescent="0.3">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row>
    <row r="2" spans="1:38" ht="15.75" thickBot="1" x14ac:dyDescent="0.3">
      <c r="A2" s="20"/>
      <c r="B2" s="49"/>
      <c r="C2" s="289" t="s">
        <v>452</v>
      </c>
      <c r="D2" s="290" t="s">
        <v>503</v>
      </c>
      <c r="E2" s="257"/>
      <c r="F2" s="258"/>
      <c r="G2" s="17"/>
      <c r="H2" s="17"/>
      <c r="I2" s="17"/>
      <c r="J2" s="17"/>
      <c r="K2" s="17"/>
      <c r="L2" s="17"/>
      <c r="M2" s="17"/>
      <c r="N2" s="17"/>
      <c r="O2" s="17"/>
      <c r="P2" s="17"/>
      <c r="Q2" s="17"/>
      <c r="R2" s="17"/>
      <c r="S2" s="17"/>
      <c r="T2" s="17"/>
      <c r="U2" s="21"/>
      <c r="V2" s="20"/>
      <c r="W2" s="20"/>
      <c r="X2" s="20"/>
      <c r="Y2" s="20"/>
      <c r="Z2" s="20"/>
      <c r="AA2" s="20"/>
      <c r="AB2" s="20"/>
      <c r="AC2" s="20"/>
      <c r="AD2" s="20"/>
      <c r="AE2" s="20"/>
      <c r="AF2" s="20"/>
      <c r="AG2" s="20"/>
      <c r="AH2" s="20"/>
      <c r="AI2" s="20"/>
      <c r="AJ2" s="20"/>
      <c r="AK2" s="20"/>
      <c r="AL2" s="20"/>
    </row>
    <row r="3" spans="1:38" x14ac:dyDescent="0.25">
      <c r="A3" s="20"/>
      <c r="B3" s="19"/>
      <c r="C3" s="20"/>
      <c r="D3" s="20"/>
      <c r="E3" s="20"/>
      <c r="F3" s="20"/>
      <c r="G3" s="51"/>
      <c r="H3" s="51"/>
      <c r="I3" s="20"/>
      <c r="J3" s="20"/>
      <c r="K3" s="51"/>
      <c r="L3" s="20"/>
      <c r="M3" s="20"/>
      <c r="N3" s="20"/>
      <c r="O3" s="20"/>
      <c r="P3" s="20"/>
      <c r="Q3" s="20"/>
      <c r="T3" s="20"/>
      <c r="U3" s="22"/>
      <c r="V3" s="20"/>
      <c r="W3" s="20"/>
      <c r="X3" s="20"/>
      <c r="Y3" s="20"/>
      <c r="Z3" s="20"/>
      <c r="AA3" s="20"/>
      <c r="AB3" s="20"/>
      <c r="AC3" s="20"/>
      <c r="AD3" s="20"/>
      <c r="AE3" s="20"/>
      <c r="AF3" s="20"/>
      <c r="AG3" s="20"/>
      <c r="AH3" s="20"/>
      <c r="AI3" s="20"/>
      <c r="AJ3" s="20"/>
      <c r="AK3" s="20"/>
      <c r="AL3" s="20"/>
    </row>
    <row r="4" spans="1:38" ht="21" x14ac:dyDescent="0.35">
      <c r="A4" s="20"/>
      <c r="B4" s="19"/>
      <c r="C4" s="20"/>
      <c r="D4" s="20"/>
      <c r="E4" s="526" t="s">
        <v>289</v>
      </c>
      <c r="F4" s="527"/>
      <c r="G4" s="51"/>
      <c r="H4" s="51"/>
      <c r="I4" s="20"/>
      <c r="J4" s="20"/>
      <c r="K4" s="51"/>
      <c r="L4" s="20"/>
      <c r="M4" s="20"/>
      <c r="N4" s="20"/>
      <c r="O4" s="20"/>
      <c r="P4" s="20"/>
      <c r="Q4" s="20"/>
      <c r="T4" s="20"/>
      <c r="U4" s="22"/>
      <c r="V4" s="20"/>
      <c r="W4" s="20"/>
      <c r="X4" s="20"/>
      <c r="Y4" s="20"/>
      <c r="Z4" s="20"/>
      <c r="AA4" s="20"/>
      <c r="AB4" s="20"/>
      <c r="AC4" s="20"/>
      <c r="AD4" s="20"/>
      <c r="AE4" s="20"/>
      <c r="AF4" s="20"/>
      <c r="AG4" s="20"/>
      <c r="AH4" s="20"/>
      <c r="AI4" s="20"/>
      <c r="AJ4" s="20"/>
      <c r="AK4" s="20"/>
      <c r="AL4" s="20"/>
    </row>
    <row r="5" spans="1:38" ht="21" x14ac:dyDescent="0.35">
      <c r="A5" s="20"/>
      <c r="B5" s="19"/>
      <c r="C5" s="20"/>
      <c r="D5" s="20"/>
      <c r="E5" s="159"/>
      <c r="F5" s="20"/>
      <c r="G5" s="51"/>
      <c r="H5" s="51"/>
      <c r="I5" s="20"/>
      <c r="J5" s="20"/>
      <c r="K5" s="51"/>
      <c r="L5" s="20"/>
      <c r="M5" s="20"/>
      <c r="N5" s="20"/>
      <c r="O5" s="20"/>
      <c r="P5" s="20"/>
      <c r="Q5" s="20"/>
      <c r="T5" s="20"/>
      <c r="U5" s="22"/>
      <c r="V5" s="20"/>
      <c r="W5" s="20"/>
      <c r="X5" s="20"/>
      <c r="Y5" s="20"/>
      <c r="Z5" s="20"/>
      <c r="AA5" s="20"/>
      <c r="AB5" s="20"/>
      <c r="AC5" s="20"/>
      <c r="AD5" s="20"/>
      <c r="AE5" s="20"/>
      <c r="AF5" s="20"/>
      <c r="AG5" s="20"/>
      <c r="AH5" s="20"/>
      <c r="AI5" s="20"/>
      <c r="AJ5" s="20"/>
      <c r="AK5" s="20"/>
      <c r="AL5" s="20"/>
    </row>
    <row r="6" spans="1:38" x14ac:dyDescent="0.25">
      <c r="A6" s="20"/>
      <c r="B6" s="19"/>
      <c r="C6" s="544" t="s">
        <v>216</v>
      </c>
      <c r="D6" s="545"/>
      <c r="E6" s="501">
        <f>Cyflwyniad!E10</f>
        <v>0</v>
      </c>
      <c r="F6" s="501"/>
      <c r="G6" s="51"/>
      <c r="H6" s="51"/>
      <c r="I6" s="20"/>
      <c r="J6" s="20"/>
      <c r="K6" s="51"/>
      <c r="L6" s="20"/>
      <c r="M6" s="20"/>
      <c r="N6" s="20"/>
      <c r="O6" s="20"/>
      <c r="P6" s="20"/>
      <c r="Q6" s="20"/>
      <c r="T6" s="20"/>
      <c r="U6" s="22"/>
      <c r="V6" s="20"/>
      <c r="W6" s="20"/>
      <c r="X6" s="20"/>
      <c r="Y6" s="20"/>
      <c r="Z6" s="20"/>
      <c r="AA6" s="20"/>
      <c r="AB6" s="20"/>
      <c r="AC6" s="20"/>
      <c r="AD6" s="20"/>
      <c r="AE6" s="20"/>
      <c r="AF6" s="20"/>
      <c r="AG6" s="20"/>
      <c r="AH6" s="20"/>
      <c r="AI6" s="20"/>
      <c r="AJ6" s="20"/>
      <c r="AK6" s="20"/>
      <c r="AL6" s="20"/>
    </row>
    <row r="7" spans="1:38" x14ac:dyDescent="0.25">
      <c r="A7" s="20"/>
      <c r="B7" s="19"/>
      <c r="C7" s="544" t="s">
        <v>313</v>
      </c>
      <c r="D7" s="545"/>
      <c r="E7" s="501">
        <f>Cyflwyniad!L9</f>
        <v>0</v>
      </c>
      <c r="F7" s="501"/>
      <c r="G7" s="51"/>
      <c r="H7" s="51"/>
      <c r="I7" s="20"/>
      <c r="J7" s="20"/>
      <c r="K7" s="51"/>
      <c r="L7" s="20"/>
      <c r="M7" s="20"/>
      <c r="N7" s="20"/>
      <c r="O7" s="20"/>
      <c r="P7" s="20"/>
      <c r="Q7" s="20"/>
      <c r="T7" s="20"/>
      <c r="U7" s="22"/>
      <c r="V7" s="20"/>
      <c r="W7" s="20"/>
      <c r="X7" s="20"/>
      <c r="Y7" s="20"/>
      <c r="Z7" s="20"/>
      <c r="AA7" s="20"/>
      <c r="AB7" s="20"/>
      <c r="AC7" s="20"/>
      <c r="AD7" s="20"/>
      <c r="AE7" s="20"/>
      <c r="AF7" s="20"/>
      <c r="AG7" s="20"/>
      <c r="AH7" s="20"/>
      <c r="AI7" s="20"/>
      <c r="AJ7" s="20"/>
      <c r="AK7" s="20"/>
      <c r="AL7" s="20"/>
    </row>
    <row r="8" spans="1:38" ht="21" x14ac:dyDescent="0.35">
      <c r="A8" s="20"/>
      <c r="B8" s="19"/>
      <c r="C8" s="20"/>
      <c r="D8" s="20"/>
      <c r="E8" s="159"/>
      <c r="F8" s="20"/>
      <c r="G8" s="51"/>
      <c r="H8" s="51"/>
      <c r="I8" s="20"/>
      <c r="J8" s="20"/>
      <c r="K8" s="51"/>
      <c r="L8" s="20"/>
      <c r="M8" s="20"/>
      <c r="N8" s="20"/>
      <c r="O8" s="20"/>
      <c r="P8" s="20"/>
      <c r="Q8" s="20"/>
      <c r="T8" s="20"/>
      <c r="U8" s="22"/>
      <c r="V8" s="20"/>
      <c r="W8" s="20"/>
      <c r="X8" s="20"/>
      <c r="Y8" s="20"/>
      <c r="Z8" s="20"/>
      <c r="AA8" s="20"/>
      <c r="AB8" s="20"/>
      <c r="AC8" s="20"/>
      <c r="AD8" s="20"/>
      <c r="AE8" s="20"/>
      <c r="AF8" s="20"/>
      <c r="AG8" s="20"/>
      <c r="AH8" s="20"/>
      <c r="AI8" s="20"/>
      <c r="AJ8" s="20"/>
      <c r="AK8" s="20"/>
      <c r="AL8" s="20"/>
    </row>
    <row r="9" spans="1:38" ht="114" customHeight="1" x14ac:dyDescent="0.25">
      <c r="A9" s="20"/>
      <c r="B9" s="19"/>
      <c r="C9" s="546" t="s">
        <v>423</v>
      </c>
      <c r="D9" s="547"/>
      <c r="E9" s="547"/>
      <c r="F9" s="548"/>
      <c r="G9" s="51"/>
      <c r="H9" s="51"/>
      <c r="I9" s="101"/>
      <c r="J9" s="20"/>
      <c r="K9" s="51"/>
      <c r="L9" s="20"/>
      <c r="M9" s="20"/>
      <c r="N9" s="20"/>
      <c r="O9" s="20"/>
      <c r="P9" s="20"/>
      <c r="Q9" s="20"/>
      <c r="T9" s="20"/>
      <c r="U9" s="22"/>
      <c r="V9" s="86"/>
      <c r="W9" s="20"/>
      <c r="X9" s="20"/>
      <c r="Y9" s="20"/>
      <c r="Z9" s="20"/>
      <c r="AA9" s="20"/>
      <c r="AB9" s="20"/>
      <c r="AC9" s="20"/>
      <c r="AD9" s="20"/>
      <c r="AE9" s="20"/>
      <c r="AF9" s="20"/>
      <c r="AG9" s="20"/>
      <c r="AH9" s="20"/>
      <c r="AI9" s="20"/>
      <c r="AJ9" s="20"/>
      <c r="AK9" s="20"/>
      <c r="AL9" s="20"/>
    </row>
    <row r="10" spans="1:38" ht="13.5" customHeight="1" x14ac:dyDescent="0.3">
      <c r="A10" s="20"/>
      <c r="B10" s="19"/>
      <c r="C10" s="20"/>
      <c r="D10" s="113"/>
      <c r="E10" s="20"/>
      <c r="F10" s="20"/>
      <c r="G10" s="51"/>
      <c r="H10" s="51"/>
      <c r="I10" s="20"/>
      <c r="J10" s="20"/>
      <c r="K10" s="51"/>
      <c r="L10" s="20"/>
      <c r="M10" s="20"/>
      <c r="N10" s="20"/>
      <c r="O10" s="20"/>
      <c r="P10" s="20"/>
      <c r="Q10" s="20"/>
      <c r="T10" s="20"/>
      <c r="U10" s="22"/>
      <c r="V10" s="86"/>
      <c r="W10" s="20"/>
      <c r="X10" s="20"/>
      <c r="Y10" s="20"/>
      <c r="Z10" s="20"/>
      <c r="AA10" s="20"/>
      <c r="AB10" s="20"/>
      <c r="AC10" s="20"/>
      <c r="AD10" s="20"/>
      <c r="AE10" s="20"/>
      <c r="AF10" s="20"/>
      <c r="AG10" s="20"/>
      <c r="AH10" s="20"/>
      <c r="AI10" s="20"/>
      <c r="AJ10" s="20"/>
      <c r="AK10" s="20"/>
      <c r="AL10" s="20"/>
    </row>
    <row r="11" spans="1:38" ht="48" customHeight="1" x14ac:dyDescent="0.3">
      <c r="A11" s="20"/>
      <c r="B11" s="19"/>
      <c r="C11" s="20"/>
      <c r="D11" s="543"/>
      <c r="E11" s="543"/>
      <c r="F11" s="20"/>
      <c r="G11" s="51"/>
      <c r="H11" s="51"/>
      <c r="I11" s="20"/>
      <c r="J11" s="20"/>
      <c r="K11" s="51"/>
      <c r="L11" s="20"/>
      <c r="M11" s="20"/>
      <c r="N11" s="20"/>
      <c r="O11" s="20"/>
      <c r="P11" s="20"/>
      <c r="Q11" s="20"/>
      <c r="T11" s="20"/>
      <c r="U11" s="22"/>
      <c r="V11" s="86"/>
      <c r="W11" s="20"/>
      <c r="X11" s="20"/>
      <c r="Y11" s="20"/>
      <c r="Z11" s="20"/>
      <c r="AA11" s="20"/>
      <c r="AB11" s="20"/>
      <c r="AC11" s="20"/>
      <c r="AD11" s="20"/>
      <c r="AE11" s="20"/>
      <c r="AF11" s="20"/>
      <c r="AG11" s="20"/>
      <c r="AH11" s="20"/>
      <c r="AI11" s="20"/>
      <c r="AJ11" s="20"/>
      <c r="AK11" s="20"/>
      <c r="AL11" s="20"/>
    </row>
    <row r="12" spans="1:38" ht="30" customHeight="1" x14ac:dyDescent="0.25">
      <c r="A12" s="20"/>
      <c r="B12" s="19"/>
      <c r="C12" s="515" t="s">
        <v>291</v>
      </c>
      <c r="D12" s="160">
        <v>1</v>
      </c>
      <c r="E12" s="342" t="s">
        <v>505</v>
      </c>
      <c r="F12" s="161"/>
      <c r="G12" s="162"/>
      <c r="H12" s="85"/>
      <c r="I12" s="221"/>
      <c r="J12" s="20"/>
      <c r="K12" s="51"/>
      <c r="L12" s="20"/>
      <c r="M12" s="20"/>
      <c r="N12" s="20"/>
      <c r="O12" s="163"/>
      <c r="P12" s="20"/>
      <c r="Q12" s="20"/>
      <c r="T12" s="20"/>
      <c r="U12" s="22"/>
      <c r="V12" s="86"/>
      <c r="W12" s="20"/>
      <c r="X12" s="20"/>
      <c r="Y12" s="20"/>
      <c r="Z12" s="20"/>
      <c r="AA12" s="20"/>
      <c r="AB12" s="20"/>
      <c r="AC12" s="20"/>
      <c r="AD12" s="20"/>
      <c r="AE12" s="20"/>
      <c r="AF12" s="20"/>
      <c r="AG12" s="20"/>
      <c r="AH12" s="20"/>
      <c r="AI12" s="20"/>
      <c r="AJ12" s="20"/>
      <c r="AK12" s="20"/>
      <c r="AL12" s="20"/>
    </row>
    <row r="13" spans="1:38" ht="30" customHeight="1" x14ac:dyDescent="0.25">
      <c r="A13" s="20"/>
      <c r="B13" s="97"/>
      <c r="C13" s="506"/>
      <c r="D13" s="164">
        <v>2</v>
      </c>
      <c r="E13" s="342" t="s">
        <v>276</v>
      </c>
      <c r="F13" s="165"/>
      <c r="G13" s="51"/>
      <c r="H13" s="51"/>
      <c r="I13" s="221"/>
      <c r="J13" s="166"/>
      <c r="K13" s="167"/>
      <c r="L13" s="166"/>
      <c r="M13" s="166"/>
      <c r="N13" s="20"/>
      <c r="O13" s="540" t="s">
        <v>373</v>
      </c>
      <c r="P13" s="20"/>
      <c r="Q13" s="20"/>
      <c r="T13" s="20"/>
      <c r="U13" s="22"/>
      <c r="V13" s="86"/>
      <c r="W13" s="20"/>
      <c r="X13" s="20"/>
      <c r="Y13" s="20"/>
      <c r="Z13" s="20"/>
      <c r="AA13" s="20"/>
      <c r="AB13" s="20"/>
      <c r="AC13" s="20"/>
      <c r="AD13" s="20"/>
      <c r="AE13" s="20"/>
      <c r="AF13" s="20"/>
      <c r="AG13" s="20"/>
      <c r="AH13" s="20"/>
      <c r="AI13" s="20"/>
      <c r="AJ13" s="20"/>
      <c r="AK13" s="20"/>
      <c r="AL13" s="20"/>
    </row>
    <row r="14" spans="1:38" ht="8.4499999999999993" customHeight="1" x14ac:dyDescent="0.25">
      <c r="A14" s="20"/>
      <c r="B14" s="97"/>
      <c r="C14" s="506"/>
      <c r="D14" s="273"/>
      <c r="E14" s="274"/>
      <c r="F14" s="165"/>
      <c r="G14" s="51"/>
      <c r="H14" s="51"/>
      <c r="I14" s="275"/>
      <c r="J14" s="166"/>
      <c r="K14" s="167"/>
      <c r="L14" s="166"/>
      <c r="M14" s="166"/>
      <c r="N14" s="20"/>
      <c r="O14" s="541"/>
      <c r="P14" s="20"/>
      <c r="Q14" s="20"/>
      <c r="T14" s="20"/>
      <c r="U14" s="22"/>
      <c r="V14" s="86"/>
      <c r="W14" s="20"/>
      <c r="X14" s="20"/>
      <c r="Y14" s="20"/>
      <c r="Z14" s="20"/>
      <c r="AA14" s="20"/>
      <c r="AB14" s="20"/>
      <c r="AC14" s="20"/>
      <c r="AD14" s="20"/>
      <c r="AE14" s="20"/>
      <c r="AF14" s="20"/>
      <c r="AG14" s="20"/>
      <c r="AH14" s="20"/>
      <c r="AI14" s="20"/>
      <c r="AJ14" s="20"/>
      <c r="AK14" s="20"/>
      <c r="AL14" s="20"/>
    </row>
    <row r="15" spans="1:38" ht="30" customHeight="1" x14ac:dyDescent="0.25">
      <c r="A15" s="20"/>
      <c r="B15" s="97"/>
      <c r="C15" s="506"/>
      <c r="D15" s="268">
        <v>3</v>
      </c>
      <c r="E15" s="313" t="s">
        <v>410</v>
      </c>
      <c r="F15" s="165"/>
      <c r="G15" s="51">
        <f>COUNTIF('Gweithgareddau rhestredig'!G9:G33,"Yes")</f>
        <v>0</v>
      </c>
      <c r="H15" s="51"/>
      <c r="I15" s="168">
        <f>G15</f>
        <v>0</v>
      </c>
      <c r="J15" s="166"/>
      <c r="K15" s="167"/>
      <c r="L15" s="166"/>
      <c r="M15" s="166"/>
      <c r="N15" s="20"/>
      <c r="O15" s="542"/>
      <c r="P15" s="20"/>
      <c r="Q15" s="20"/>
      <c r="T15" s="20"/>
      <c r="U15" s="22"/>
      <c r="V15" s="86"/>
      <c r="W15" s="20"/>
      <c r="X15" s="20"/>
      <c r="Y15" s="20"/>
      <c r="Z15" s="20"/>
      <c r="AA15" s="20"/>
      <c r="AB15" s="20"/>
      <c r="AC15" s="20"/>
      <c r="AD15" s="20"/>
      <c r="AE15" s="20"/>
      <c r="AF15" s="20"/>
      <c r="AG15" s="20"/>
      <c r="AH15" s="20"/>
      <c r="AI15" s="20"/>
      <c r="AJ15" s="20"/>
      <c r="AK15" s="20"/>
      <c r="AL15" s="20"/>
    </row>
    <row r="16" spans="1:38" ht="30" customHeight="1" x14ac:dyDescent="0.25">
      <c r="A16" s="20"/>
      <c r="B16" s="97"/>
      <c r="C16" s="516"/>
      <c r="D16" s="268">
        <v>4</v>
      </c>
      <c r="E16" s="313" t="s">
        <v>425</v>
      </c>
      <c r="F16" s="169"/>
      <c r="G16" s="95">
        <f>+'Gweithgareddau rhestredig'!V6</f>
        <v>0</v>
      </c>
      <c r="H16" s="110"/>
      <c r="I16" s="168" t="str">
        <f>IF(G16&gt;0,"Ie","Na")</f>
        <v>Na</v>
      </c>
      <c r="J16" s="166"/>
      <c r="K16" s="167"/>
      <c r="L16" s="166"/>
      <c r="M16" s="166"/>
      <c r="N16" s="20"/>
      <c r="O16" s="20"/>
      <c r="P16" s="20"/>
      <c r="Q16" s="20"/>
      <c r="T16" s="20"/>
      <c r="U16" s="22"/>
      <c r="V16" s="86"/>
      <c r="W16" s="20"/>
      <c r="X16" s="20"/>
      <c r="Y16" s="20"/>
      <c r="Z16" s="20"/>
      <c r="AA16" s="20"/>
      <c r="AB16" s="20"/>
      <c r="AC16" s="20"/>
      <c r="AD16" s="20"/>
      <c r="AE16" s="20"/>
      <c r="AF16" s="20"/>
      <c r="AG16" s="20"/>
      <c r="AH16" s="20"/>
      <c r="AI16" s="20"/>
      <c r="AJ16" s="20"/>
      <c r="AK16" s="20"/>
      <c r="AL16" s="20"/>
    </row>
    <row r="17" spans="1:38" ht="30" customHeight="1" x14ac:dyDescent="0.25">
      <c r="A17" s="20"/>
      <c r="B17" s="97"/>
      <c r="C17" s="170"/>
      <c r="D17" s="166"/>
      <c r="E17" s="48"/>
      <c r="F17" s="20"/>
      <c r="G17" s="51"/>
      <c r="H17" s="51"/>
      <c r="I17" s="75"/>
      <c r="J17" s="166"/>
      <c r="K17" s="167"/>
      <c r="L17" s="166"/>
      <c r="M17" s="166"/>
      <c r="N17" s="20"/>
      <c r="O17" s="20"/>
      <c r="P17" s="20"/>
      <c r="Q17" s="20"/>
      <c r="T17" s="20"/>
      <c r="U17" s="22"/>
      <c r="V17" s="86"/>
      <c r="W17" s="20"/>
      <c r="X17" s="20"/>
      <c r="Y17" s="20"/>
      <c r="Z17" s="20"/>
      <c r="AA17" s="20"/>
      <c r="AB17" s="20"/>
      <c r="AC17" s="20"/>
      <c r="AD17" s="20"/>
      <c r="AE17" s="20"/>
      <c r="AF17" s="20"/>
      <c r="AG17" s="20"/>
      <c r="AH17" s="20"/>
      <c r="AI17" s="20"/>
      <c r="AJ17" s="20"/>
      <c r="AK17" s="20"/>
      <c r="AL17" s="20"/>
    </row>
    <row r="18" spans="1:38" ht="18" hidden="1" customHeight="1" x14ac:dyDescent="0.25">
      <c r="A18" s="20"/>
      <c r="B18" s="171"/>
      <c r="C18" s="102"/>
      <c r="D18" s="172"/>
      <c r="E18" s="343" t="s">
        <v>274</v>
      </c>
      <c r="F18" s="51"/>
      <c r="G18" s="173" t="str">
        <f>IF(OR(I12=0,I13=0),"incomplete","complete")</f>
        <v>incomplete</v>
      </c>
      <c r="H18" s="51">
        <f>COUNTIF(I12:I16,"Ie")</f>
        <v>0</v>
      </c>
      <c r="I18" s="174" t="str">
        <f>IF(OR(H18&gt;0,I15&gt;0),"Ie","Na")</f>
        <v>Na</v>
      </c>
      <c r="J18" s="167"/>
      <c r="K18" s="167"/>
      <c r="L18" s="167"/>
      <c r="M18" s="167"/>
      <c r="N18" s="51"/>
      <c r="O18" s="51"/>
      <c r="P18" s="20"/>
      <c r="Q18" s="20"/>
      <c r="T18" s="20"/>
      <c r="U18" s="22"/>
      <c r="V18" s="86"/>
      <c r="W18" s="20"/>
      <c r="X18" s="20"/>
      <c r="Y18" s="20"/>
      <c r="Z18" s="20"/>
      <c r="AA18" s="20"/>
      <c r="AB18" s="20"/>
      <c r="AC18" s="20"/>
      <c r="AD18" s="20"/>
      <c r="AE18" s="20"/>
      <c r="AF18" s="20"/>
      <c r="AG18" s="20"/>
      <c r="AH18" s="20"/>
      <c r="AI18" s="20"/>
      <c r="AJ18" s="20"/>
      <c r="AK18" s="20"/>
      <c r="AL18" s="20"/>
    </row>
    <row r="19" spans="1:38" ht="60" customHeight="1" x14ac:dyDescent="0.25">
      <c r="A19" s="20"/>
      <c r="B19" s="97"/>
      <c r="C19" s="48"/>
      <c r="D19" s="91"/>
      <c r="E19" s="66" t="str">
        <f>IF(G19="incomplete","Gwnewch yn siŵr eich bod wedi rhoi'r holl wybodaeth am eich gweithgareddau a'ch cynhwysedd ar y daflen Gweithgareddau Rhestredig ","")</f>
        <v/>
      </c>
      <c r="F19" s="20"/>
      <c r="G19" s="51" t="str">
        <f>IF(OR('Gweithgareddau rhestredig'!Q7="incomplete",'Gweithgareddau rhestredig'!R7="Incomplete",'Gweithgareddau rhestredig'!S7="incomplete"),"incomplete","complete")</f>
        <v>complete</v>
      </c>
      <c r="H19" s="51"/>
      <c r="I19" s="537" t="str">
        <f>IF(OR(I16="Ie",I12="Ie",I13="Ie",I15&gt;0),"Yn seiliedig ar eich atebion yn y tab gweithgaredd a restrir, a'r atebion yn yr adran hon mae gennych amrywiad sylweddol",IF(G18="incomplete","sicrhewch eich bod wedi ateb y cwestiynau yn y cwymplenni glas uchod","Bydd hwn yn gais amrywiad arferol"))</f>
        <v>sicrhewch eich bod wedi ateb y cwestiynau yn y cwymplenni glas uchod</v>
      </c>
      <c r="J19" s="538"/>
      <c r="K19" s="538"/>
      <c r="L19" s="538"/>
      <c r="M19" s="539"/>
      <c r="N19" s="175"/>
      <c r="O19" s="20"/>
      <c r="P19" s="20"/>
      <c r="Q19" s="20"/>
      <c r="T19" s="20"/>
      <c r="U19" s="22"/>
      <c r="V19" s="86"/>
      <c r="W19" s="20"/>
      <c r="X19" s="20"/>
      <c r="Y19" s="20"/>
      <c r="Z19" s="20"/>
      <c r="AA19" s="20"/>
      <c r="AB19" s="20"/>
      <c r="AC19" s="20"/>
      <c r="AD19" s="20"/>
      <c r="AE19" s="20"/>
      <c r="AF19" s="20"/>
      <c r="AG19" s="20"/>
      <c r="AH19" s="20"/>
      <c r="AI19" s="20"/>
      <c r="AJ19" s="20"/>
      <c r="AK19" s="20"/>
      <c r="AL19" s="20"/>
    </row>
    <row r="20" spans="1:38" ht="27.75" customHeight="1" x14ac:dyDescent="0.25">
      <c r="A20" s="20"/>
      <c r="B20" s="97"/>
      <c r="C20" s="48"/>
      <c r="D20" s="91"/>
      <c r="E20" s="66"/>
      <c r="F20" s="20"/>
      <c r="G20" s="51"/>
      <c r="H20" s="51"/>
      <c r="I20" s="176"/>
      <c r="J20" s="176"/>
      <c r="K20" s="177"/>
      <c r="L20" s="176"/>
      <c r="M20" s="176"/>
      <c r="N20" s="175"/>
      <c r="O20" s="20"/>
      <c r="P20" s="20"/>
      <c r="Q20" s="20"/>
      <c r="R20" s="513" t="s">
        <v>382</v>
      </c>
      <c r="S20" s="513"/>
      <c r="T20" s="20"/>
      <c r="U20" s="22"/>
      <c r="V20" s="86"/>
      <c r="W20" s="20"/>
      <c r="X20" s="20"/>
      <c r="Y20" s="20"/>
      <c r="Z20" s="20"/>
      <c r="AA20" s="20"/>
      <c r="AB20" s="20"/>
      <c r="AC20" s="20"/>
      <c r="AD20" s="20"/>
      <c r="AE20" s="20"/>
      <c r="AF20" s="20"/>
      <c r="AG20" s="20"/>
      <c r="AH20" s="20"/>
      <c r="AI20" s="20"/>
      <c r="AJ20" s="20"/>
      <c r="AK20" s="20"/>
      <c r="AL20" s="20"/>
    </row>
    <row r="21" spans="1:38" ht="14.25" customHeight="1" x14ac:dyDescent="0.3">
      <c r="A21" s="20"/>
      <c r="B21" s="97"/>
      <c r="C21" s="48"/>
      <c r="D21" s="514"/>
      <c r="E21" s="514"/>
      <c r="F21" s="20"/>
      <c r="G21" s="51"/>
      <c r="H21" s="167"/>
      <c r="I21" s="101"/>
      <c r="J21" s="166"/>
      <c r="K21" s="167"/>
      <c r="L21" s="166"/>
      <c r="M21" s="166"/>
      <c r="N21" s="20"/>
      <c r="O21" s="20"/>
      <c r="P21" s="20"/>
      <c r="Q21" s="20"/>
      <c r="T21" s="20"/>
      <c r="U21" s="22"/>
      <c r="V21" s="86"/>
      <c r="W21" s="20"/>
      <c r="X21" s="20"/>
      <c r="Y21" s="20"/>
      <c r="Z21" s="20"/>
      <c r="AA21" s="20"/>
      <c r="AB21" s="20"/>
      <c r="AC21" s="20"/>
      <c r="AD21" s="20"/>
      <c r="AE21" s="20"/>
      <c r="AF21" s="20"/>
      <c r="AG21" s="20"/>
      <c r="AH21" s="20"/>
      <c r="AI21" s="20"/>
      <c r="AJ21" s="20"/>
      <c r="AK21" s="20"/>
      <c r="AL21" s="20"/>
    </row>
    <row r="22" spans="1:38" ht="63" customHeight="1" x14ac:dyDescent="0.25">
      <c r="A22" s="20"/>
      <c r="B22" s="19"/>
      <c r="C22" s="515" t="s">
        <v>275</v>
      </c>
      <c r="D22" s="160">
        <v>1</v>
      </c>
      <c r="E22" s="287" t="s">
        <v>408</v>
      </c>
      <c r="F22" s="161"/>
      <c r="G22" s="85"/>
      <c r="H22" s="85"/>
      <c r="I22" s="222"/>
      <c r="J22" s="20"/>
      <c r="K22" s="51">
        <f>IF(I22=0,0,IF(I22=1,1,IF(I22=2,2,3)))</f>
        <v>0</v>
      </c>
      <c r="L22" s="20"/>
      <c r="M22" s="20"/>
      <c r="N22" s="20"/>
      <c r="O22" s="178"/>
      <c r="P22" s="20"/>
      <c r="Q22" s="20"/>
      <c r="R22" s="51">
        <v>4</v>
      </c>
      <c r="T22" s="20"/>
      <c r="U22" s="22"/>
      <c r="V22" s="86"/>
      <c r="W22" s="20"/>
      <c r="X22" s="20"/>
      <c r="Y22" s="20"/>
      <c r="Z22" s="20"/>
      <c r="AA22" s="20"/>
      <c r="AB22" s="20"/>
      <c r="AC22" s="20"/>
      <c r="AD22" s="20"/>
      <c r="AE22" s="20"/>
      <c r="AF22" s="20"/>
      <c r="AG22" s="20"/>
      <c r="AH22" s="20"/>
      <c r="AI22" s="20"/>
      <c r="AJ22" s="20"/>
      <c r="AK22" s="20"/>
      <c r="AL22" s="20"/>
    </row>
    <row r="23" spans="1:38" ht="6.95" customHeight="1" x14ac:dyDescent="0.25">
      <c r="A23" s="20"/>
      <c r="B23" s="19"/>
      <c r="C23" s="506"/>
      <c r="D23" s="136"/>
      <c r="E23" s="276"/>
      <c r="F23" s="165"/>
      <c r="G23" s="51"/>
      <c r="H23" s="51"/>
      <c r="I23" s="277"/>
      <c r="J23" s="20"/>
      <c r="K23" s="51"/>
      <c r="L23" s="20"/>
      <c r="M23" s="20"/>
      <c r="N23" s="20"/>
      <c r="O23" s="178"/>
      <c r="P23" s="20"/>
      <c r="Q23" s="20"/>
      <c r="T23" s="20"/>
      <c r="U23" s="22"/>
      <c r="V23" s="86"/>
      <c r="W23" s="20"/>
      <c r="X23" s="20"/>
      <c r="Y23" s="20"/>
      <c r="Z23" s="20"/>
      <c r="AA23" s="20"/>
      <c r="AB23" s="20"/>
      <c r="AC23" s="20"/>
      <c r="AD23" s="20"/>
      <c r="AE23" s="20"/>
      <c r="AF23" s="20"/>
      <c r="AG23" s="20"/>
      <c r="AH23" s="20"/>
      <c r="AI23" s="20"/>
      <c r="AJ23" s="20"/>
      <c r="AK23" s="20"/>
      <c r="AL23" s="20"/>
    </row>
    <row r="24" spans="1:38" ht="57.75" customHeight="1" x14ac:dyDescent="0.25">
      <c r="A24" s="20"/>
      <c r="B24" s="97"/>
      <c r="C24" s="506"/>
      <c r="D24" s="268">
        <v>2</v>
      </c>
      <c r="E24" s="344" t="s">
        <v>409</v>
      </c>
      <c r="F24" s="165"/>
      <c r="G24" s="87">
        <f t="array" ref="G24">SUMPRODUCT((('Gweithgareddau rhestredig'!M9:M33&lt;&gt;"")/COUNTIF('Gweithgareddau rhestredig'!M9:M33,'Gweithgareddau rhestredig'!M9:M33&amp;"")))</f>
        <v>0</v>
      </c>
      <c r="H24" s="52"/>
      <c r="I24" s="168">
        <f>G24</f>
        <v>0</v>
      </c>
      <c r="J24" s="20"/>
      <c r="K24" s="51">
        <f>IF(I24=0,0,IF(I24=1,1,IF(I24=2,2,3)))</f>
        <v>0</v>
      </c>
      <c r="L24" s="20"/>
      <c r="M24" s="20"/>
      <c r="N24" s="20"/>
      <c r="O24" s="20"/>
      <c r="P24" s="20"/>
      <c r="Q24" s="20"/>
      <c r="R24" s="51">
        <v>6</v>
      </c>
      <c r="T24" s="20"/>
      <c r="U24" s="22"/>
      <c r="V24" s="86"/>
      <c r="W24" s="20"/>
      <c r="X24" s="20"/>
      <c r="Y24" s="20"/>
      <c r="Z24" s="20"/>
      <c r="AA24" s="20"/>
      <c r="AB24" s="20"/>
      <c r="AC24" s="20"/>
      <c r="AD24" s="20"/>
      <c r="AE24" s="20"/>
      <c r="AF24" s="20"/>
      <c r="AG24" s="20"/>
      <c r="AH24" s="20"/>
      <c r="AI24" s="20"/>
      <c r="AJ24" s="20"/>
      <c r="AK24" s="20"/>
      <c r="AL24" s="20"/>
    </row>
    <row r="25" spans="1:38" ht="23.25" customHeight="1" x14ac:dyDescent="0.25">
      <c r="A25" s="20"/>
      <c r="B25" s="97"/>
      <c r="C25" s="506"/>
      <c r="D25" s="268">
        <v>3</v>
      </c>
      <c r="E25" s="344" t="s">
        <v>234</v>
      </c>
      <c r="F25" s="165"/>
      <c r="G25" s="51">
        <f>COUNTIF('Gweithgareddau rhestredig'!E9:E33,"*Rhan*")</f>
        <v>0</v>
      </c>
      <c r="H25" s="51"/>
      <c r="I25" s="168">
        <f>G25</f>
        <v>0</v>
      </c>
      <c r="J25" s="20"/>
      <c r="K25" s="95">
        <f>IF(I25=0,0,IF(I25=1,1,IF(I25=2,2,3)))</f>
        <v>0</v>
      </c>
      <c r="L25" s="20"/>
      <c r="M25" s="20"/>
      <c r="N25" s="20"/>
      <c r="O25" s="20"/>
      <c r="P25" s="20"/>
      <c r="Q25" s="20"/>
      <c r="R25" s="51">
        <v>10</v>
      </c>
      <c r="T25" s="20"/>
      <c r="U25" s="22"/>
      <c r="V25" s="86"/>
      <c r="W25" s="20"/>
      <c r="X25" s="20"/>
      <c r="Y25" s="20"/>
      <c r="Z25" s="20"/>
      <c r="AA25" s="20"/>
      <c r="AB25" s="20"/>
      <c r="AC25" s="20"/>
      <c r="AD25" s="20"/>
      <c r="AE25" s="20"/>
      <c r="AF25" s="20"/>
      <c r="AG25" s="20"/>
      <c r="AH25" s="20"/>
      <c r="AI25" s="20"/>
      <c r="AJ25" s="20"/>
      <c r="AK25" s="20"/>
      <c r="AL25" s="20"/>
    </row>
    <row r="26" spans="1:38" ht="36" customHeight="1" x14ac:dyDescent="0.25">
      <c r="A26" s="20"/>
      <c r="B26" s="97"/>
      <c r="C26" s="516"/>
      <c r="D26" s="269">
        <v>4</v>
      </c>
      <c r="E26" s="345" t="s">
        <v>426</v>
      </c>
      <c r="F26" s="169"/>
      <c r="G26" s="95">
        <f>IF(I18="Ie",0,1)</f>
        <v>1</v>
      </c>
      <c r="H26" s="179">
        <f>IF(AND(G26=1,'Gweithgareddau rhestredig'!X7&gt;0.25),1,0)</f>
        <v>0</v>
      </c>
      <c r="I26" s="168" t="str">
        <f>IF(H26=1,"Ie","Na")</f>
        <v>Na</v>
      </c>
      <c r="J26" s="20"/>
      <c r="K26" s="95">
        <f>H26</f>
        <v>0</v>
      </c>
      <c r="L26" s="20"/>
      <c r="M26" s="20"/>
      <c r="N26" s="20"/>
      <c r="O26" s="20"/>
      <c r="P26" s="20"/>
      <c r="Q26" s="20"/>
      <c r="T26" s="20"/>
      <c r="U26" s="22"/>
      <c r="V26" s="86"/>
      <c r="W26" s="20"/>
      <c r="X26" s="20"/>
      <c r="Y26" s="20"/>
      <c r="Z26" s="20"/>
      <c r="AA26" s="20"/>
      <c r="AB26" s="20"/>
      <c r="AC26" s="20"/>
      <c r="AD26" s="20"/>
      <c r="AE26" s="20"/>
      <c r="AF26" s="20"/>
      <c r="AG26" s="20"/>
      <c r="AH26" s="20"/>
      <c r="AI26" s="20"/>
      <c r="AJ26" s="20"/>
      <c r="AK26" s="20"/>
      <c r="AL26" s="20"/>
    </row>
    <row r="27" spans="1:38" ht="18.75" customHeight="1" x14ac:dyDescent="0.25">
      <c r="A27" s="20"/>
      <c r="B27" s="19"/>
      <c r="C27" s="20"/>
      <c r="D27" s="91"/>
      <c r="E27" s="20"/>
      <c r="F27" s="20"/>
      <c r="G27" s="51"/>
      <c r="H27" s="98"/>
      <c r="I27" s="20"/>
      <c r="J27" s="20"/>
      <c r="K27" s="51"/>
      <c r="L27" s="20"/>
      <c r="M27" s="20"/>
      <c r="N27" s="20"/>
      <c r="O27" s="20"/>
      <c r="P27" s="20"/>
      <c r="Q27" s="20"/>
      <c r="T27" s="20"/>
      <c r="U27" s="22"/>
      <c r="V27" s="86"/>
      <c r="W27" s="20"/>
      <c r="X27" s="20"/>
      <c r="Y27" s="20"/>
      <c r="Z27" s="20"/>
      <c r="AA27" s="20"/>
      <c r="AB27" s="20"/>
      <c r="AC27" s="20"/>
      <c r="AD27" s="20"/>
      <c r="AE27" s="20"/>
      <c r="AF27" s="20"/>
      <c r="AG27" s="20"/>
      <c r="AH27" s="20"/>
      <c r="AI27" s="20"/>
      <c r="AJ27" s="20"/>
      <c r="AK27" s="20"/>
      <c r="AL27" s="20"/>
    </row>
    <row r="28" spans="1:38" s="20" customFormat="1" ht="18.75" customHeight="1" x14ac:dyDescent="0.25">
      <c r="B28" s="19"/>
      <c r="E28" s="531" t="str">
        <f>IF(OR(H28="incomplete",H29="incomplete",H30="incomplete"),"Gwnewch yn siŵr eich bod wedi rhoi'r holl wybodaeth am eich gweithgareddau a'ch cynhwysedd ar y daflen Gweithgareddau Rhestredig","")</f>
        <v/>
      </c>
      <c r="G28" s="346" t="s">
        <v>305</v>
      </c>
      <c r="H28" s="137" t="str">
        <f>+'Gweithgareddau rhestredig'!Q7</f>
        <v>complete</v>
      </c>
      <c r="U28" s="22"/>
      <c r="V28" s="86"/>
    </row>
    <row r="29" spans="1:38" s="20" customFormat="1" ht="18.75" customHeight="1" x14ac:dyDescent="0.25">
      <c r="B29" s="19"/>
      <c r="E29" s="531"/>
      <c r="G29" s="346" t="s">
        <v>306</v>
      </c>
      <c r="H29" s="137" t="str">
        <f>+'Gweithgareddau rhestredig'!R7</f>
        <v>complete</v>
      </c>
      <c r="U29" s="22"/>
      <c r="V29" s="86"/>
    </row>
    <row r="30" spans="1:38" s="20" customFormat="1" ht="12" customHeight="1" x14ac:dyDescent="0.25">
      <c r="B30" s="19"/>
      <c r="E30" s="531"/>
      <c r="G30" s="346" t="s">
        <v>307</v>
      </c>
      <c r="H30" s="137" t="str">
        <f>+'Gweithgareddau rhestredig'!S7</f>
        <v>complete</v>
      </c>
      <c r="U30" s="22"/>
      <c r="V30" s="86"/>
    </row>
    <row r="31" spans="1:38" s="51" customFormat="1" ht="21" hidden="1" customHeight="1" x14ac:dyDescent="0.25">
      <c r="A31" s="20"/>
      <c r="B31" s="180"/>
      <c r="E31" s="89"/>
      <c r="I31" s="174" t="s">
        <v>312</v>
      </c>
      <c r="K31" s="183">
        <f>SUM(K22:K26)</f>
        <v>0</v>
      </c>
      <c r="M31" s="183" t="str">
        <f>IF(K31=0,"",IF(K31&lt;$R$22,"Band 1",IF(K31&lt;$R$24,"Band 2",IF(K31&lt;$R$25,"Band 3","Band 4"))))</f>
        <v/>
      </c>
      <c r="U31" s="182"/>
      <c r="V31" s="52"/>
    </row>
    <row r="32" spans="1:38" ht="29.25" customHeight="1" x14ac:dyDescent="0.25">
      <c r="A32" s="20"/>
      <c r="B32" s="19"/>
      <c r="C32" s="20"/>
      <c r="D32" s="20"/>
      <c r="E32" s="20"/>
      <c r="F32" s="20"/>
      <c r="G32" s="51"/>
      <c r="H32" s="51"/>
      <c r="I32" s="101"/>
      <c r="J32" s="20"/>
      <c r="K32" s="51"/>
      <c r="L32" s="20"/>
      <c r="M32" s="20"/>
      <c r="N32" s="20"/>
      <c r="O32" s="20"/>
      <c r="P32" s="20"/>
      <c r="Q32" s="20"/>
      <c r="S32" s="94"/>
      <c r="T32" s="86"/>
      <c r="U32" s="22"/>
      <c r="V32" s="20"/>
      <c r="W32" s="20"/>
      <c r="X32" s="20"/>
      <c r="Y32" s="20"/>
      <c r="Z32" s="20"/>
      <c r="AA32" s="20"/>
      <c r="AB32" s="20"/>
      <c r="AC32" s="20"/>
      <c r="AD32" s="20"/>
      <c r="AE32" s="20"/>
      <c r="AF32" s="20"/>
      <c r="AG32" s="20"/>
      <c r="AH32" s="20"/>
      <c r="AI32" s="20"/>
      <c r="AJ32" s="20"/>
      <c r="AK32" s="20"/>
      <c r="AL32" s="20"/>
    </row>
    <row r="33" spans="1:38" ht="30" customHeight="1" x14ac:dyDescent="0.25">
      <c r="A33" s="20"/>
      <c r="B33" s="19"/>
      <c r="C33" s="505" t="s">
        <v>414</v>
      </c>
      <c r="D33" s="226">
        <v>1</v>
      </c>
      <c r="E33" s="347" t="s">
        <v>415</v>
      </c>
      <c r="F33" s="161"/>
      <c r="G33" s="348" t="s">
        <v>325</v>
      </c>
      <c r="H33" s="184"/>
      <c r="I33" s="223"/>
      <c r="J33" s="20"/>
      <c r="K33" s="51"/>
      <c r="L33" s="20"/>
      <c r="M33" s="20"/>
      <c r="N33" s="20"/>
      <c r="O33" s="20"/>
      <c r="P33" s="48"/>
      <c r="Q33" s="48"/>
      <c r="T33" s="86"/>
      <c r="U33" s="22"/>
      <c r="V33" s="20"/>
      <c r="W33" s="20"/>
      <c r="X33" s="20"/>
      <c r="Y33" s="20"/>
      <c r="Z33" s="20"/>
      <c r="AA33" s="20"/>
      <c r="AB33" s="20"/>
      <c r="AC33" s="20"/>
      <c r="AD33" s="20"/>
      <c r="AE33" s="20"/>
      <c r="AF33" s="20"/>
      <c r="AG33" s="20"/>
      <c r="AH33" s="20"/>
      <c r="AI33" s="20"/>
      <c r="AJ33" s="20"/>
      <c r="AK33" s="20"/>
      <c r="AL33" s="20"/>
    </row>
    <row r="34" spans="1:38" ht="30" customHeight="1" x14ac:dyDescent="0.25">
      <c r="A34" s="20"/>
      <c r="B34" s="97"/>
      <c r="C34" s="506"/>
      <c r="D34" s="227">
        <v>2</v>
      </c>
      <c r="E34" s="342" t="s">
        <v>292</v>
      </c>
      <c r="F34" s="165"/>
      <c r="G34" s="349" t="s">
        <v>267</v>
      </c>
      <c r="H34" s="185"/>
      <c r="I34" s="222"/>
      <c r="J34" s="20"/>
      <c r="K34" s="51"/>
      <c r="L34" s="20"/>
      <c r="M34" s="20"/>
      <c r="N34" s="20"/>
      <c r="O34" s="48"/>
      <c r="P34" s="48"/>
      <c r="Q34" s="48"/>
      <c r="T34" s="86"/>
      <c r="U34" s="22"/>
      <c r="V34" s="20"/>
      <c r="W34" s="20"/>
      <c r="X34" s="20"/>
      <c r="Y34" s="20"/>
      <c r="Z34" s="20"/>
      <c r="AA34" s="20"/>
      <c r="AB34" s="20"/>
      <c r="AC34" s="20"/>
      <c r="AD34" s="20"/>
      <c r="AE34" s="20"/>
      <c r="AF34" s="20"/>
      <c r="AG34" s="20"/>
      <c r="AH34" s="20"/>
      <c r="AI34" s="20"/>
      <c r="AJ34" s="20"/>
      <c r="AK34" s="20"/>
      <c r="AL34" s="20"/>
    </row>
    <row r="35" spans="1:38" ht="30" customHeight="1" x14ac:dyDescent="0.25">
      <c r="A35" s="20"/>
      <c r="B35" s="97"/>
      <c r="C35" s="506"/>
      <c r="D35" s="227">
        <v>3</v>
      </c>
      <c r="E35" s="342" t="s">
        <v>272</v>
      </c>
      <c r="F35" s="165"/>
      <c r="G35" s="185" t="str">
        <f>IF(I35="Ie",1,"0")</f>
        <v>0</v>
      </c>
      <c r="H35" s="186"/>
      <c r="I35" s="222"/>
      <c r="J35" s="20"/>
      <c r="K35" s="51">
        <f>SUM(COUNTIF(I33:I35,"Yes")+(COUNTIF(I38:I39,"Yes")))</f>
        <v>0</v>
      </c>
      <c r="L35" s="20"/>
      <c r="M35" s="20"/>
      <c r="N35" s="20"/>
      <c r="O35" s="178"/>
      <c r="P35" s="48"/>
      <c r="Q35" s="48"/>
      <c r="T35" s="86"/>
      <c r="U35" s="22"/>
      <c r="V35" s="20"/>
      <c r="W35" s="20"/>
      <c r="X35" s="20"/>
      <c r="Y35" s="20"/>
      <c r="Z35" s="20"/>
      <c r="AA35" s="20"/>
      <c r="AB35" s="20"/>
      <c r="AC35" s="20"/>
      <c r="AD35" s="20"/>
      <c r="AE35" s="20"/>
      <c r="AF35" s="20"/>
      <c r="AG35" s="20"/>
      <c r="AH35" s="20"/>
      <c r="AI35" s="20"/>
      <c r="AJ35" s="20"/>
      <c r="AK35" s="20"/>
      <c r="AL35" s="20"/>
    </row>
    <row r="36" spans="1:38" ht="30" customHeight="1" x14ac:dyDescent="0.25">
      <c r="A36" s="20"/>
      <c r="B36" s="97"/>
      <c r="C36" s="506"/>
      <c r="D36" s="227">
        <v>4</v>
      </c>
      <c r="E36" s="342" t="s">
        <v>416</v>
      </c>
      <c r="F36" s="165"/>
      <c r="G36" s="350" t="s">
        <v>393</v>
      </c>
      <c r="H36" s="186"/>
      <c r="I36" s="223"/>
      <c r="J36" s="20"/>
      <c r="K36" s="51">
        <f>IF(I36="Yes",-1,0)</f>
        <v>0</v>
      </c>
      <c r="L36" s="20"/>
      <c r="M36" s="20"/>
      <c r="N36" s="20"/>
      <c r="O36" s="178"/>
      <c r="P36" s="48"/>
      <c r="Q36" s="48"/>
      <c r="T36" s="86"/>
      <c r="U36" s="22"/>
      <c r="V36" s="20"/>
      <c r="W36" s="20"/>
      <c r="X36" s="20"/>
      <c r="Y36" s="20"/>
      <c r="Z36" s="20"/>
      <c r="AA36" s="20"/>
      <c r="AB36" s="20"/>
      <c r="AC36" s="20"/>
      <c r="AD36" s="20"/>
      <c r="AE36" s="20"/>
      <c r="AF36" s="20"/>
      <c r="AG36" s="20"/>
      <c r="AH36" s="20"/>
      <c r="AI36" s="20"/>
      <c r="AJ36" s="20"/>
      <c r="AK36" s="20"/>
      <c r="AL36" s="20"/>
    </row>
    <row r="37" spans="1:38" ht="9.6" customHeight="1" x14ac:dyDescent="0.25">
      <c r="A37" s="20"/>
      <c r="B37" s="97"/>
      <c r="C37" s="506"/>
      <c r="D37" s="278"/>
      <c r="E37" s="210"/>
      <c r="F37" s="165"/>
      <c r="G37" s="185"/>
      <c r="H37" s="186"/>
      <c r="I37" s="279"/>
      <c r="J37" s="20"/>
      <c r="K37" s="51"/>
      <c r="L37" s="20"/>
      <c r="M37" s="20"/>
      <c r="N37" s="20"/>
      <c r="O37" s="178"/>
      <c r="P37" s="48"/>
      <c r="Q37" s="48"/>
      <c r="T37" s="86"/>
      <c r="U37" s="22"/>
      <c r="V37" s="20"/>
      <c r="W37" s="20"/>
      <c r="X37" s="20"/>
      <c r="Y37" s="20"/>
      <c r="Z37" s="20"/>
      <c r="AA37" s="20"/>
      <c r="AB37" s="20"/>
      <c r="AC37" s="20"/>
      <c r="AD37" s="20"/>
      <c r="AE37" s="20"/>
      <c r="AF37" s="20"/>
      <c r="AG37" s="20"/>
      <c r="AH37" s="20"/>
      <c r="AI37" s="20"/>
      <c r="AJ37" s="20"/>
      <c r="AK37" s="20"/>
      <c r="AL37" s="20"/>
    </row>
    <row r="38" spans="1:38" ht="30" customHeight="1" x14ac:dyDescent="0.25">
      <c r="A38" s="20"/>
      <c r="B38" s="97"/>
      <c r="C38" s="506"/>
      <c r="D38" s="270">
        <v>5</v>
      </c>
      <c r="E38" s="313" t="s">
        <v>412</v>
      </c>
      <c r="F38" s="165"/>
      <c r="G38" s="185">
        <f>COUNTIF('Gweithgareddau rhestredig'!E9:E33,"5.1*")</f>
        <v>0</v>
      </c>
      <c r="H38" s="186"/>
      <c r="I38" s="168" t="str">
        <f>IF(G38&gt;0,"Ie","Na")</f>
        <v>Na</v>
      </c>
      <c r="J38" s="20"/>
      <c r="K38" s="51">
        <f>SUM(K35,K36)</f>
        <v>0</v>
      </c>
      <c r="L38" s="20"/>
      <c r="M38" s="20"/>
      <c r="N38" s="20"/>
      <c r="O38" s="178"/>
      <c r="P38" s="48"/>
      <c r="Q38" s="48"/>
      <c r="T38" s="86"/>
      <c r="U38" s="22"/>
      <c r="V38" s="20"/>
      <c r="W38" s="20"/>
      <c r="X38" s="20"/>
      <c r="Y38" s="20"/>
      <c r="Z38" s="20"/>
      <c r="AA38" s="20"/>
      <c r="AB38" s="20"/>
      <c r="AC38" s="20"/>
      <c r="AD38" s="20"/>
      <c r="AE38" s="20"/>
      <c r="AF38" s="20"/>
      <c r="AG38" s="20"/>
      <c r="AH38" s="20"/>
      <c r="AI38" s="20"/>
      <c r="AJ38" s="20"/>
      <c r="AK38" s="20"/>
      <c r="AL38" s="20"/>
    </row>
    <row r="39" spans="1:38" ht="30" customHeight="1" x14ac:dyDescent="0.25">
      <c r="A39" s="20"/>
      <c r="B39" s="97"/>
      <c r="C39" s="506"/>
      <c r="D39" s="271">
        <v>6</v>
      </c>
      <c r="E39" s="313" t="s">
        <v>288</v>
      </c>
      <c r="F39" s="161"/>
      <c r="G39" s="85">
        <f>COUNTIF('Gweithgareddau rhestredig'!P9:P33,1)</f>
        <v>0</v>
      </c>
      <c r="H39" s="85"/>
      <c r="I39" s="168" t="str">
        <f>IF(G39&gt;0,"Ie","Na")</f>
        <v>Na</v>
      </c>
      <c r="J39" s="20"/>
      <c r="K39" s="183">
        <f>IF(K38=1,1,(IF(K38&gt;1,2,0)))</f>
        <v>0</v>
      </c>
      <c r="L39" s="20"/>
      <c r="M39" s="20"/>
      <c r="N39" s="20"/>
      <c r="O39" s="48"/>
      <c r="P39" s="48"/>
      <c r="Q39" s="48"/>
      <c r="T39" s="86"/>
      <c r="U39" s="22"/>
      <c r="V39" s="20"/>
      <c r="W39" s="20"/>
      <c r="X39" s="20"/>
      <c r="Y39" s="20"/>
      <c r="Z39" s="20"/>
      <c r="AA39" s="20"/>
      <c r="AB39" s="20"/>
      <c r="AC39" s="20"/>
      <c r="AD39" s="20"/>
      <c r="AE39" s="20"/>
      <c r="AF39" s="20"/>
      <c r="AG39" s="20"/>
      <c r="AH39" s="20"/>
      <c r="AI39" s="20"/>
      <c r="AJ39" s="20"/>
      <c r="AK39" s="20"/>
      <c r="AL39" s="20"/>
    </row>
    <row r="40" spans="1:38" ht="18" customHeight="1" x14ac:dyDescent="0.25">
      <c r="A40" s="20"/>
      <c r="B40" s="97"/>
      <c r="C40" s="187"/>
      <c r="D40" s="188"/>
      <c r="E40" s="48"/>
      <c r="F40" s="20"/>
      <c r="G40" s="185"/>
      <c r="H40" s="185"/>
      <c r="I40" s="20"/>
      <c r="J40" s="20"/>
      <c r="K40" s="51">
        <f>K39</f>
        <v>0</v>
      </c>
      <c r="L40" s="20"/>
      <c r="M40" s="86"/>
      <c r="N40" s="20"/>
      <c r="O40" s="178"/>
      <c r="P40" s="48"/>
      <c r="Q40" s="48"/>
      <c r="T40" s="86"/>
      <c r="U40" s="22"/>
      <c r="V40" s="20"/>
      <c r="W40" s="20"/>
      <c r="X40" s="20"/>
      <c r="Y40" s="20"/>
      <c r="Z40" s="20"/>
      <c r="AA40" s="20"/>
      <c r="AB40" s="20"/>
      <c r="AC40" s="20"/>
      <c r="AD40" s="20"/>
      <c r="AE40" s="20"/>
      <c r="AF40" s="20"/>
      <c r="AG40" s="20"/>
      <c r="AH40" s="20"/>
      <c r="AI40" s="20"/>
      <c r="AJ40" s="20"/>
      <c r="AK40" s="20"/>
      <c r="AL40" s="20"/>
    </row>
    <row r="41" spans="1:38" ht="16.5" customHeight="1" x14ac:dyDescent="0.25">
      <c r="A41" s="20"/>
      <c r="B41" s="97"/>
      <c r="C41" s="187"/>
      <c r="D41" s="91"/>
      <c r="E41" s="20"/>
      <c r="F41" s="20"/>
      <c r="G41" s="51"/>
      <c r="H41" s="185"/>
      <c r="I41" s="189"/>
      <c r="J41" s="20"/>
      <c r="K41" s="51"/>
      <c r="L41" s="20"/>
      <c r="M41" s="20"/>
      <c r="N41" s="20"/>
      <c r="O41" s="178"/>
      <c r="P41" s="48"/>
      <c r="Q41" s="48"/>
      <c r="T41" s="86"/>
      <c r="U41" s="22"/>
      <c r="V41" s="20"/>
      <c r="W41" s="20"/>
      <c r="X41" s="20"/>
      <c r="Y41" s="20"/>
      <c r="Z41" s="20"/>
      <c r="AA41" s="20"/>
      <c r="AB41" s="20"/>
      <c r="AC41" s="20"/>
      <c r="AD41" s="20"/>
      <c r="AE41" s="20"/>
      <c r="AF41" s="20"/>
      <c r="AG41" s="20"/>
      <c r="AH41" s="20"/>
      <c r="AI41" s="20"/>
      <c r="AJ41" s="20"/>
      <c r="AK41" s="20"/>
      <c r="AL41" s="20"/>
    </row>
    <row r="42" spans="1:38" ht="21.75" hidden="1" customHeight="1" x14ac:dyDescent="0.25">
      <c r="A42" s="20"/>
      <c r="B42" s="171"/>
      <c r="C42" s="190"/>
      <c r="D42" s="191"/>
      <c r="E42" s="20"/>
      <c r="F42" s="51"/>
      <c r="G42" s="51"/>
      <c r="H42" s="51"/>
      <c r="I42" s="20"/>
      <c r="J42" s="51"/>
      <c r="K42" s="183">
        <f>+K31+K39</f>
        <v>0</v>
      </c>
      <c r="L42" s="51"/>
      <c r="M42" s="52" t="str">
        <f>IF(M31="","",IF(AND(M31="Band 1",K40=0),"Band 1",IF(AND(M31="Band 1",K40&gt;0),"Band 2",IF(AND(M31="Band 2",K40&lt;2),"Band 2",IF(AND(M31="Band 2",K40&gt;1),"Band 3",IF(AND(M31="Band 3",K40&lt;2),"Band 3",IF(AND(M31="Band 3",K40&gt;1),"Band 4")))))))</f>
        <v/>
      </c>
      <c r="N42" s="51"/>
      <c r="O42" s="192"/>
      <c r="P42" s="102"/>
      <c r="Q42" s="102"/>
      <c r="T42" s="86"/>
      <c r="U42" s="22"/>
      <c r="V42" s="20"/>
      <c r="W42" s="20"/>
      <c r="X42" s="20"/>
      <c r="Y42" s="20"/>
      <c r="Z42" s="20"/>
      <c r="AA42" s="20"/>
      <c r="AB42" s="20"/>
      <c r="AC42" s="20"/>
      <c r="AD42" s="20"/>
      <c r="AE42" s="20"/>
      <c r="AF42" s="20"/>
      <c r="AG42" s="20"/>
      <c r="AH42" s="20"/>
      <c r="AI42" s="20"/>
      <c r="AJ42" s="20"/>
      <c r="AK42" s="20"/>
      <c r="AL42" s="20"/>
    </row>
    <row r="43" spans="1:38" ht="44.25" customHeight="1" x14ac:dyDescent="0.25">
      <c r="A43" s="20"/>
      <c r="B43" s="90"/>
      <c r="C43" s="530" t="s">
        <v>439</v>
      </c>
      <c r="D43" s="227">
        <v>1</v>
      </c>
      <c r="E43" s="347" t="s">
        <v>304</v>
      </c>
      <c r="F43" s="165"/>
      <c r="G43" s="349" t="s">
        <v>406</v>
      </c>
      <c r="H43" s="186"/>
      <c r="I43" s="222"/>
      <c r="J43" s="20"/>
      <c r="K43" s="51"/>
      <c r="L43" s="20"/>
      <c r="M43" s="198"/>
      <c r="N43" s="351" t="s">
        <v>405</v>
      </c>
      <c r="O43" s="352" t="s">
        <v>436</v>
      </c>
      <c r="P43" s="352" t="s">
        <v>378</v>
      </c>
      <c r="Q43" s="353" t="s">
        <v>377</v>
      </c>
      <c r="S43" s="229" t="s">
        <v>286</v>
      </c>
      <c r="T43" s="20"/>
      <c r="U43" s="22"/>
      <c r="V43" s="20"/>
      <c r="W43" s="20"/>
      <c r="X43" s="20"/>
      <c r="Y43" s="20"/>
      <c r="Z43" s="20"/>
      <c r="AA43" s="20"/>
      <c r="AB43" s="20"/>
      <c r="AC43" s="20"/>
      <c r="AD43" s="20"/>
      <c r="AE43" s="20"/>
      <c r="AF43" s="20"/>
      <c r="AG43" s="20"/>
      <c r="AH43" s="20"/>
      <c r="AI43" s="20"/>
      <c r="AJ43" s="20"/>
      <c r="AK43" s="20"/>
      <c r="AL43" s="20"/>
    </row>
    <row r="44" spans="1:38" ht="34.5" customHeight="1" x14ac:dyDescent="0.25">
      <c r="A44" s="20"/>
      <c r="B44" s="97"/>
      <c r="C44" s="522"/>
      <c r="D44" s="227">
        <v>2</v>
      </c>
      <c r="E44" s="342" t="s">
        <v>293</v>
      </c>
      <c r="F44" s="193"/>
      <c r="G44" s="51"/>
      <c r="H44" s="186"/>
      <c r="I44" s="222"/>
      <c r="J44" s="20"/>
      <c r="K44" s="51"/>
      <c r="L44" s="20"/>
      <c r="M44" s="354" t="s">
        <v>438</v>
      </c>
      <c r="N44" s="200">
        <v>8967</v>
      </c>
      <c r="O44" s="200">
        <v>11413</v>
      </c>
      <c r="P44" s="200">
        <v>19580</v>
      </c>
      <c r="Q44" s="201">
        <v>35132</v>
      </c>
      <c r="S44" s="224">
        <v>105</v>
      </c>
      <c r="T44" s="20"/>
      <c r="U44" s="22"/>
      <c r="V44" s="20"/>
      <c r="W44" s="20"/>
      <c r="X44" s="20"/>
      <c r="Y44" s="20"/>
      <c r="Z44" s="20"/>
      <c r="AA44" s="20"/>
      <c r="AB44" s="20"/>
      <c r="AC44" s="20"/>
      <c r="AD44" s="20"/>
      <c r="AE44" s="20"/>
      <c r="AF44" s="20"/>
      <c r="AG44" s="20"/>
      <c r="AH44" s="20"/>
      <c r="AI44" s="20"/>
      <c r="AJ44" s="20"/>
      <c r="AK44" s="20"/>
      <c r="AL44" s="20"/>
    </row>
    <row r="45" spans="1:38" ht="6.95" customHeight="1" x14ac:dyDescent="0.25">
      <c r="A45" s="20"/>
      <c r="B45" s="97"/>
      <c r="C45" s="522"/>
      <c r="D45" s="278"/>
      <c r="E45" s="274"/>
      <c r="F45" s="193"/>
      <c r="G45" s="185"/>
      <c r="H45" s="186"/>
      <c r="I45" s="277"/>
      <c r="J45" s="20"/>
      <c r="K45" s="51"/>
      <c r="L45" s="20"/>
      <c r="M45" s="199"/>
      <c r="N45" s="280"/>
      <c r="O45" s="280"/>
      <c r="P45" s="280"/>
      <c r="Q45" s="281"/>
      <c r="S45" s="224"/>
      <c r="T45" s="20"/>
      <c r="U45" s="22"/>
      <c r="V45" s="20"/>
      <c r="W45" s="20"/>
      <c r="X45" s="20"/>
      <c r="Y45" s="20"/>
      <c r="Z45" s="20"/>
      <c r="AA45" s="20"/>
      <c r="AB45" s="20"/>
      <c r="AC45" s="20"/>
      <c r="AD45" s="20"/>
      <c r="AE45" s="20"/>
      <c r="AF45" s="20"/>
      <c r="AG45" s="20"/>
      <c r="AH45" s="20"/>
      <c r="AI45" s="20"/>
      <c r="AJ45" s="20"/>
      <c r="AK45" s="20"/>
      <c r="AL45" s="20"/>
    </row>
    <row r="46" spans="1:38" ht="30.95" customHeight="1" x14ac:dyDescent="0.25">
      <c r="A46" s="20"/>
      <c r="B46" s="97"/>
      <c r="C46" s="523"/>
      <c r="D46" s="270">
        <v>3</v>
      </c>
      <c r="E46" s="313" t="s">
        <v>413</v>
      </c>
      <c r="F46" s="165"/>
      <c r="G46" s="185">
        <f>COUNTIF('Gweithgareddau rhestredig'!E9:E33,"6.10*")</f>
        <v>0</v>
      </c>
      <c r="H46" s="186"/>
      <c r="I46" s="168" t="str">
        <f>IF(G46&gt;0,"Ie","Na")</f>
        <v>Na</v>
      </c>
      <c r="J46" s="96"/>
      <c r="K46" s="51">
        <f>COUNTIF(I44:I46,"Yes")</f>
        <v>0</v>
      </c>
      <c r="L46" s="20"/>
      <c r="M46" s="355" t="s">
        <v>346</v>
      </c>
      <c r="N46" s="203">
        <v>13035</v>
      </c>
      <c r="O46" s="203">
        <v>19635</v>
      </c>
      <c r="P46" s="203">
        <v>31395</v>
      </c>
      <c r="Q46" s="204">
        <v>42687</v>
      </c>
      <c r="T46" s="20"/>
      <c r="U46" s="22"/>
      <c r="V46" s="20"/>
      <c r="W46" s="20"/>
      <c r="X46" s="20"/>
      <c r="Y46" s="20"/>
      <c r="Z46" s="20"/>
      <c r="AA46" s="20"/>
      <c r="AB46" s="20"/>
      <c r="AC46" s="20"/>
      <c r="AD46" s="20"/>
      <c r="AE46" s="20"/>
      <c r="AF46" s="20"/>
      <c r="AG46" s="20"/>
      <c r="AH46" s="20"/>
      <c r="AI46" s="20"/>
      <c r="AJ46" s="20"/>
      <c r="AK46" s="20"/>
      <c r="AL46" s="20"/>
    </row>
    <row r="47" spans="1:38" ht="39" customHeight="1" x14ac:dyDescent="0.25">
      <c r="A47" s="20"/>
      <c r="B47" s="97"/>
      <c r="C47" s="20"/>
      <c r="D47" s="91"/>
      <c r="E47" s="66"/>
      <c r="F47" s="96"/>
      <c r="G47" s="51"/>
      <c r="H47" s="98"/>
      <c r="I47" s="20"/>
      <c r="J47" s="96"/>
      <c r="K47" s="95">
        <f>IF(K46=1,1,(IF(K46&gt;1,2,0)))</f>
        <v>0</v>
      </c>
      <c r="L47" s="96"/>
      <c r="M47" s="96"/>
      <c r="N47" s="20"/>
      <c r="O47" s="99"/>
      <c r="P47" s="99"/>
      <c r="Q47" s="99"/>
      <c r="T47" s="86"/>
      <c r="U47" s="22"/>
      <c r="V47" s="20"/>
      <c r="W47" s="20"/>
      <c r="X47" s="20"/>
      <c r="Y47" s="20"/>
      <c r="Z47" s="20"/>
      <c r="AA47" s="20"/>
      <c r="AB47" s="20"/>
      <c r="AC47" s="20"/>
      <c r="AD47" s="20"/>
      <c r="AE47" s="20"/>
      <c r="AF47" s="20"/>
      <c r="AG47" s="20"/>
      <c r="AH47" s="20"/>
      <c r="AI47" s="20"/>
      <c r="AJ47" s="20"/>
      <c r="AK47" s="20"/>
      <c r="AL47" s="20"/>
    </row>
    <row r="48" spans="1:38" ht="33.6" customHeight="1" x14ac:dyDescent="0.25">
      <c r="A48" s="20"/>
      <c r="B48" s="97"/>
      <c r="C48" s="20"/>
      <c r="D48" s="91"/>
      <c r="E48" s="48" t="str">
        <f>IF(G48="incomplete","Gwnewch yn siŵr eich bod wedi ateb pob cwestiwn yn y cwymplenni glas uchod","")</f>
        <v>Gwnewch yn siŵr eich bod wedi ateb pob cwestiwn yn y cwymplenni glas uchod</v>
      </c>
      <c r="F48" s="20"/>
      <c r="G48" s="194" t="str">
        <f>IF(OR(I36=0,I33=0,I34=0,I35=0,I22="",I44="",I43=""),"Incomplete","Complete")</f>
        <v>Incomplete</v>
      </c>
      <c r="H48" s="89"/>
      <c r="I48" s="20"/>
      <c r="J48" s="20"/>
      <c r="K48" s="51"/>
      <c r="L48" s="20"/>
      <c r="M48" s="20"/>
      <c r="N48" s="20"/>
      <c r="O48" s="20"/>
      <c r="P48" s="48"/>
      <c r="Q48" s="48"/>
      <c r="R48" s="102"/>
      <c r="T48" s="86"/>
      <c r="U48" s="22"/>
      <c r="V48" s="20"/>
      <c r="W48" s="20"/>
      <c r="X48" s="20"/>
      <c r="Y48" s="20"/>
      <c r="Z48" s="20"/>
      <c r="AA48" s="20"/>
      <c r="AB48" s="20"/>
      <c r="AC48" s="20"/>
      <c r="AD48" s="20"/>
      <c r="AE48" s="20"/>
      <c r="AF48" s="20"/>
      <c r="AG48" s="20"/>
      <c r="AH48" s="20"/>
      <c r="AI48" s="20"/>
      <c r="AJ48" s="20"/>
      <c r="AK48" s="20"/>
      <c r="AL48" s="20"/>
    </row>
    <row r="49" spans="1:38" ht="32.25" customHeight="1" x14ac:dyDescent="0.25">
      <c r="A49" s="20"/>
      <c r="B49" s="97"/>
      <c r="C49" s="20"/>
      <c r="D49" s="92"/>
      <c r="E49" s="20"/>
      <c r="F49" s="20"/>
      <c r="G49" s="195"/>
      <c r="H49" s="195"/>
      <c r="I49" s="473" t="s">
        <v>345</v>
      </c>
      <c r="J49" s="525"/>
      <c r="K49" s="100"/>
      <c r="L49" s="196"/>
      <c r="M49" s="197" t="str">
        <f>IF(K46=0,M42,IF(AND(K46=1,M42="Band 4"),"Band 4",IF(AND(K46=1,M42="Band 3"),"Band 4","Band 3")))</f>
        <v/>
      </c>
      <c r="N49" s="20"/>
      <c r="O49" s="48"/>
      <c r="P49" s="48"/>
      <c r="Q49" s="20"/>
      <c r="T49" s="20"/>
      <c r="U49" s="22"/>
      <c r="V49" s="20"/>
      <c r="W49" s="20"/>
      <c r="X49" s="20"/>
      <c r="Y49" s="20"/>
      <c r="Z49" s="20"/>
      <c r="AA49" s="20"/>
      <c r="AB49" s="20"/>
      <c r="AC49" s="20"/>
      <c r="AD49" s="20"/>
      <c r="AE49" s="20"/>
      <c r="AF49" s="20"/>
      <c r="AG49" s="20"/>
      <c r="AH49" s="20"/>
      <c r="AI49" s="20"/>
      <c r="AJ49" s="20"/>
      <c r="AK49" s="20"/>
      <c r="AL49" s="20"/>
    </row>
    <row r="50" spans="1:38" ht="11.45" customHeight="1" x14ac:dyDescent="0.25">
      <c r="A50" s="20"/>
      <c r="B50" s="90"/>
      <c r="C50" s="20"/>
      <c r="D50" s="20"/>
      <c r="E50" s="20"/>
      <c r="F50" s="20"/>
      <c r="G50" s="195"/>
      <c r="H50" s="195"/>
      <c r="I50" s="103"/>
      <c r="J50" s="20"/>
      <c r="K50" s="51"/>
      <c r="L50" s="20"/>
      <c r="M50" s="20"/>
      <c r="N50" s="96"/>
      <c r="O50" s="48"/>
      <c r="P50" s="48"/>
      <c r="Q50" s="20"/>
      <c r="T50" s="20"/>
      <c r="U50" s="22"/>
      <c r="V50" s="20"/>
      <c r="W50" s="20"/>
      <c r="X50" s="20"/>
      <c r="Y50" s="20"/>
      <c r="Z50" s="20"/>
      <c r="AA50" s="20"/>
      <c r="AB50" s="20"/>
      <c r="AC50" s="20"/>
      <c r="AD50" s="20"/>
      <c r="AE50" s="20"/>
      <c r="AF50" s="20"/>
      <c r="AG50" s="20"/>
      <c r="AH50" s="20"/>
      <c r="AI50" s="20"/>
      <c r="AJ50" s="20"/>
      <c r="AK50" s="20"/>
      <c r="AL50" s="20"/>
    </row>
    <row r="51" spans="1:38" ht="33" customHeight="1" x14ac:dyDescent="0.25">
      <c r="A51" s="20"/>
      <c r="B51" s="19"/>
      <c r="C51" s="20"/>
      <c r="D51" s="20"/>
      <c r="E51" s="20"/>
      <c r="F51" s="20"/>
      <c r="G51" s="195"/>
      <c r="H51" s="51"/>
      <c r="I51" s="509" t="str">
        <f>IF(I18="Ie","Y taliad sylfaenol ar gyfer y cais amrywmio sylweddol hwn yw:","")</f>
        <v/>
      </c>
      <c r="J51" s="510"/>
      <c r="K51" s="85">
        <f>IF(M52="",0,M52)</f>
        <v>0</v>
      </c>
      <c r="L51" s="202"/>
      <c r="M51" s="284" t="str">
        <f>(IF(AND(M49="Band 1",I18="yes"),N46,IF(AND(M49="Band 2",I18="yes"),O46,IF(AND(M49="Band 3",I18="yes"),P46,IF(AND(M49="Band 4",I18="yes"),Q46,"")))))</f>
        <v/>
      </c>
      <c r="N51" s="20"/>
      <c r="O51" s="48"/>
      <c r="P51" s="48"/>
      <c r="Q51" s="20"/>
      <c r="T51" s="20"/>
      <c r="U51" s="22"/>
      <c r="V51" s="20"/>
      <c r="W51" s="20"/>
      <c r="X51" s="20"/>
      <c r="Y51" s="20"/>
      <c r="Z51" s="20"/>
      <c r="AA51" s="20"/>
      <c r="AB51" s="20"/>
      <c r="AC51" s="20"/>
      <c r="AD51" s="20"/>
      <c r="AE51" s="20"/>
      <c r="AF51" s="20"/>
      <c r="AG51" s="20"/>
      <c r="AH51" s="20"/>
      <c r="AI51" s="20"/>
      <c r="AJ51" s="20"/>
      <c r="AK51" s="20"/>
      <c r="AL51" s="20"/>
    </row>
    <row r="52" spans="1:38" ht="30" customHeight="1" x14ac:dyDescent="0.25">
      <c r="A52" s="20"/>
      <c r="B52" s="19"/>
      <c r="C52" s="20"/>
      <c r="D52" s="20"/>
      <c r="E52" s="20"/>
      <c r="F52" s="20"/>
      <c r="G52" s="195"/>
      <c r="H52" s="51"/>
      <c r="I52" s="511" t="str">
        <f>IF(I18="Na","Y taliad sylfaenol ar gyfer y cais amrwymiol arferol hwn yw:","")</f>
        <v>Y taliad sylfaenol ar gyfer y cais amrwymiol arferol hwn yw:</v>
      </c>
      <c r="J52" s="512"/>
      <c r="K52" s="95">
        <f>IF(M51="",0,M51)</f>
        <v>0</v>
      </c>
      <c r="L52" s="205"/>
      <c r="M52" s="285" t="str">
        <f>(IF(AND(M49="Band 1",I18="no"),N44,IF(AND(M49="Band 2",I18="no"),O44,IF(AND(M49="Band 3",I18="no"),P44,IF(AND(M49="Band 4",I18="no"),Q44,"")))))</f>
        <v/>
      </c>
      <c r="N52" s="20"/>
      <c r="O52" s="99"/>
      <c r="P52" s="99"/>
      <c r="Q52" s="20"/>
      <c r="T52" s="20"/>
      <c r="U52" s="22"/>
      <c r="V52" s="20"/>
      <c r="W52" s="20"/>
      <c r="X52" s="20"/>
      <c r="Y52" s="20"/>
      <c r="Z52" s="20"/>
      <c r="AA52" s="20"/>
      <c r="AB52" s="20"/>
      <c r="AC52" s="20"/>
      <c r="AD52" s="20"/>
      <c r="AE52" s="20"/>
      <c r="AF52" s="20"/>
      <c r="AG52" s="20"/>
      <c r="AH52" s="20"/>
      <c r="AI52" s="20"/>
      <c r="AJ52" s="20"/>
      <c r="AK52" s="20"/>
      <c r="AL52" s="20"/>
    </row>
    <row r="53" spans="1:38" ht="17.100000000000001" customHeight="1" x14ac:dyDescent="0.25">
      <c r="A53" s="20"/>
      <c r="B53" s="19"/>
      <c r="C53" s="20"/>
      <c r="D53" s="20"/>
      <c r="E53" s="20"/>
      <c r="F53" s="20"/>
      <c r="G53" s="195"/>
      <c r="H53" s="195"/>
      <c r="I53" s="103"/>
      <c r="J53" s="20"/>
      <c r="K53" s="51"/>
      <c r="L53" s="20"/>
      <c r="M53" s="20"/>
      <c r="N53" s="20"/>
      <c r="O53" s="99"/>
      <c r="P53" s="20"/>
      <c r="Q53" s="20"/>
      <c r="T53" s="20"/>
      <c r="U53" s="22"/>
      <c r="V53" s="20"/>
      <c r="W53" s="20"/>
      <c r="X53" s="20"/>
      <c r="Y53" s="20"/>
      <c r="Z53" s="20"/>
      <c r="AA53" s="20"/>
      <c r="AB53" s="20"/>
      <c r="AC53" s="20"/>
      <c r="AD53" s="20"/>
      <c r="AE53" s="20"/>
      <c r="AF53" s="20"/>
      <c r="AG53" s="20"/>
      <c r="AH53" s="20"/>
      <c r="AI53" s="20"/>
      <c r="AJ53" s="20"/>
      <c r="AK53" s="20"/>
      <c r="AL53" s="20"/>
    </row>
    <row r="54" spans="1:38" ht="57.75" customHeight="1" x14ac:dyDescent="0.25">
      <c r="A54" s="20"/>
      <c r="B54" s="19"/>
      <c r="C54" s="443" t="s">
        <v>268</v>
      </c>
      <c r="D54" s="507"/>
      <c r="E54" s="508"/>
      <c r="F54" s="356" t="s">
        <v>290</v>
      </c>
      <c r="G54" s="95"/>
      <c r="H54" s="95"/>
      <c r="I54" s="356" t="s">
        <v>486</v>
      </c>
      <c r="J54" s="356" t="s">
        <v>326</v>
      </c>
      <c r="K54" s="95"/>
      <c r="L54" s="88"/>
      <c r="M54" s="112" t="s">
        <v>300</v>
      </c>
      <c r="N54" s="20"/>
      <c r="O54" s="20"/>
      <c r="P54" s="20"/>
      <c r="Q54" s="20"/>
      <c r="T54" s="20"/>
      <c r="U54" s="22"/>
      <c r="V54" s="20"/>
      <c r="W54" s="20"/>
      <c r="X54" s="20"/>
      <c r="Y54" s="20"/>
      <c r="Z54" s="20"/>
      <c r="AA54" s="20"/>
      <c r="AB54" s="20"/>
      <c r="AC54" s="20"/>
      <c r="AD54" s="20"/>
      <c r="AE54" s="20"/>
      <c r="AF54" s="20"/>
      <c r="AG54" s="20"/>
      <c r="AH54" s="20"/>
      <c r="AI54" s="20"/>
      <c r="AJ54" s="20"/>
    </row>
    <row r="55" spans="1:38" ht="33" customHeight="1" x14ac:dyDescent="0.25">
      <c r="A55" s="20"/>
      <c r="B55" s="19"/>
      <c r="C55" s="532" t="s">
        <v>181</v>
      </c>
      <c r="D55" s="206"/>
      <c r="E55" s="313" t="s">
        <v>336</v>
      </c>
      <c r="F55" s="74">
        <f>'Gweithgareddau eraill'!T33</f>
        <v>0</v>
      </c>
      <c r="G55" s="51"/>
      <c r="H55" s="51"/>
      <c r="I55" s="207">
        <f>F55*J55</f>
        <v>0</v>
      </c>
      <c r="J55" s="208">
        <v>1626</v>
      </c>
      <c r="K55" s="51"/>
      <c r="L55" s="20"/>
      <c r="M55" s="50">
        <f>IF(AND(F56=0,F55&gt;0),J55,0)</f>
        <v>0</v>
      </c>
      <c r="N55" s="20"/>
      <c r="O55" s="20"/>
      <c r="P55" s="20"/>
      <c r="Q55" s="20"/>
      <c r="R55" s="52"/>
      <c r="T55" s="20"/>
      <c r="U55" s="22"/>
      <c r="V55" s="20"/>
      <c r="W55" s="20"/>
      <c r="X55" s="20"/>
      <c r="Y55" s="20"/>
      <c r="Z55" s="20"/>
      <c r="AA55" s="20"/>
      <c r="AB55" s="20"/>
      <c r="AC55" s="20"/>
      <c r="AD55" s="20"/>
      <c r="AE55" s="20"/>
      <c r="AF55" s="20"/>
      <c r="AG55" s="20"/>
      <c r="AH55" s="20"/>
      <c r="AI55" s="20"/>
      <c r="AJ55" s="20"/>
    </row>
    <row r="56" spans="1:38" ht="33" customHeight="1" x14ac:dyDescent="0.25">
      <c r="A56" s="20"/>
      <c r="B56" s="19"/>
      <c r="C56" s="533"/>
      <c r="D56" s="209"/>
      <c r="E56" s="313" t="s">
        <v>337</v>
      </c>
      <c r="F56" s="74">
        <f>'Gweithgareddau eraill'!U33</f>
        <v>0</v>
      </c>
      <c r="G56" s="51"/>
      <c r="H56" s="51"/>
      <c r="I56" s="207">
        <f>F56*J56</f>
        <v>0</v>
      </c>
      <c r="J56" s="208">
        <v>2533</v>
      </c>
      <c r="K56" s="51"/>
      <c r="L56" s="20"/>
      <c r="M56" s="50">
        <f>IF(F56&gt;0,J56,0)</f>
        <v>0</v>
      </c>
      <c r="N56" s="99"/>
      <c r="O56" s="99"/>
      <c r="P56" s="20"/>
      <c r="Q56" s="20"/>
      <c r="R56" s="52"/>
      <c r="T56" s="20"/>
      <c r="U56" s="22"/>
      <c r="V56" s="20"/>
      <c r="W56" s="20"/>
      <c r="X56" s="20"/>
      <c r="Y56" s="20"/>
      <c r="Z56" s="20"/>
      <c r="AA56" s="20"/>
      <c r="AB56" s="20"/>
      <c r="AC56" s="20"/>
      <c r="AD56" s="20"/>
      <c r="AE56" s="20"/>
      <c r="AF56" s="20"/>
      <c r="AG56" s="20"/>
      <c r="AH56" s="20"/>
      <c r="AI56" s="20"/>
      <c r="AJ56" s="20"/>
    </row>
    <row r="57" spans="1:38" ht="33" customHeight="1" x14ac:dyDescent="0.25">
      <c r="A57" s="20"/>
      <c r="B57" s="19"/>
      <c r="C57" s="533"/>
      <c r="D57" s="209"/>
      <c r="E57" s="313" t="s">
        <v>338</v>
      </c>
      <c r="F57" s="74">
        <f>'Gweithgareddau eraill'!S33</f>
        <v>0</v>
      </c>
      <c r="G57" s="51"/>
      <c r="H57" s="51"/>
      <c r="I57" s="207">
        <f>F57*J57</f>
        <v>0</v>
      </c>
      <c r="J57" s="208">
        <v>1626</v>
      </c>
      <c r="K57" s="51"/>
      <c r="L57" s="20"/>
      <c r="M57" s="50">
        <f>IF(I57&lt;(3*J57),I57,(3*J57))</f>
        <v>0</v>
      </c>
      <c r="N57" s="99"/>
      <c r="O57" s="99"/>
      <c r="P57" s="20"/>
      <c r="Q57" s="20"/>
      <c r="R57" s="52"/>
      <c r="T57" s="20"/>
      <c r="U57" s="22"/>
      <c r="V57" s="20"/>
      <c r="W57" s="20"/>
      <c r="X57" s="20"/>
      <c r="Y57" s="20"/>
      <c r="Z57" s="20"/>
      <c r="AA57" s="20"/>
      <c r="AB57" s="20"/>
      <c r="AC57" s="20"/>
      <c r="AD57" s="20"/>
      <c r="AE57" s="20"/>
      <c r="AF57" s="20"/>
      <c r="AG57" s="20"/>
      <c r="AH57" s="20"/>
      <c r="AI57" s="20"/>
      <c r="AJ57" s="20"/>
    </row>
    <row r="58" spans="1:38" ht="42" customHeight="1" x14ac:dyDescent="0.25">
      <c r="A58" s="20"/>
      <c r="B58" s="19"/>
      <c r="C58" s="228"/>
      <c r="D58" s="209"/>
      <c r="E58" s="313" t="s">
        <v>339</v>
      </c>
      <c r="F58" s="74">
        <f>'Gweithgareddau eraill'!V33</f>
        <v>0</v>
      </c>
      <c r="G58" s="51"/>
      <c r="H58" s="51"/>
      <c r="I58" s="207">
        <f>F58*J58</f>
        <v>0</v>
      </c>
      <c r="J58" s="208">
        <v>2002.2</v>
      </c>
      <c r="K58" s="51"/>
      <c r="L58" s="20"/>
      <c r="M58" s="50">
        <f>IF(I58&lt;(3*J58),I58,(3*J58))</f>
        <v>0</v>
      </c>
      <c r="N58" s="99"/>
      <c r="O58" s="99"/>
      <c r="P58" s="20"/>
      <c r="Q58" s="20"/>
      <c r="R58" s="52"/>
      <c r="T58" s="20"/>
      <c r="U58" s="22"/>
      <c r="V58" s="20"/>
      <c r="W58" s="20"/>
      <c r="X58" s="20"/>
      <c r="Y58" s="20"/>
      <c r="Z58" s="20"/>
      <c r="AA58" s="20"/>
      <c r="AB58" s="20"/>
      <c r="AC58" s="20"/>
      <c r="AD58" s="20"/>
      <c r="AE58" s="20"/>
      <c r="AF58" s="20"/>
      <c r="AG58" s="20"/>
      <c r="AH58" s="20"/>
      <c r="AI58" s="20"/>
      <c r="AJ58" s="20"/>
    </row>
    <row r="59" spans="1:38" ht="11.1" customHeight="1" x14ac:dyDescent="0.25">
      <c r="A59" s="20"/>
      <c r="B59" s="19"/>
      <c r="C59" s="228"/>
      <c r="D59" s="209"/>
      <c r="E59" s="210"/>
      <c r="F59" s="75"/>
      <c r="G59" s="20"/>
      <c r="H59" s="20"/>
      <c r="I59" s="211"/>
      <c r="J59" s="211"/>
      <c r="K59" s="51"/>
      <c r="L59" s="20"/>
      <c r="M59" s="122"/>
      <c r="N59" s="99"/>
      <c r="O59" s="99"/>
      <c r="P59" s="20"/>
      <c r="Q59" s="20"/>
      <c r="R59" s="52"/>
      <c r="T59" s="20"/>
      <c r="U59" s="22"/>
      <c r="V59" s="20"/>
      <c r="W59" s="20"/>
      <c r="X59" s="20"/>
      <c r="Y59" s="20"/>
      <c r="Z59" s="20"/>
      <c r="AA59" s="20"/>
      <c r="AB59" s="20"/>
      <c r="AC59" s="20"/>
      <c r="AD59" s="20"/>
      <c r="AE59" s="20"/>
      <c r="AF59" s="20"/>
      <c r="AG59" s="20"/>
      <c r="AH59" s="20"/>
      <c r="AI59" s="20"/>
      <c r="AJ59" s="20"/>
    </row>
    <row r="60" spans="1:38" ht="33" customHeight="1" x14ac:dyDescent="0.25">
      <c r="A60" s="20"/>
      <c r="B60" s="97"/>
      <c r="C60" s="228"/>
      <c r="D60" s="209"/>
      <c r="E60" s="313" t="s">
        <v>340</v>
      </c>
      <c r="F60" s="74">
        <f>'Gweithgareddau eraill'!Y33</f>
        <v>0</v>
      </c>
      <c r="G60" s="51"/>
      <c r="H60" s="51"/>
      <c r="I60" s="207">
        <f>F60*J60</f>
        <v>0</v>
      </c>
      <c r="J60" s="212">
        <v>976</v>
      </c>
      <c r="K60" s="51"/>
      <c r="L60" s="20"/>
      <c r="M60" s="50">
        <f>IF(AND(F60&gt;0,F61=0),J60,0)</f>
        <v>0</v>
      </c>
      <c r="N60" s="48"/>
      <c r="O60" s="48"/>
      <c r="P60" s="20"/>
      <c r="Q60" s="20"/>
      <c r="R60" s="52"/>
      <c r="T60" s="20"/>
      <c r="U60" s="22"/>
      <c r="V60" s="20"/>
      <c r="W60" s="20"/>
      <c r="X60" s="20"/>
      <c r="Y60" s="20"/>
      <c r="Z60" s="20"/>
      <c r="AA60" s="20"/>
      <c r="AB60" s="20"/>
      <c r="AC60" s="20"/>
      <c r="AD60" s="20"/>
      <c r="AE60" s="20"/>
      <c r="AF60" s="20"/>
      <c r="AG60" s="20"/>
      <c r="AH60" s="20"/>
      <c r="AI60" s="20"/>
      <c r="AJ60" s="20"/>
    </row>
    <row r="61" spans="1:38" ht="33" customHeight="1" x14ac:dyDescent="0.25">
      <c r="A61" s="20"/>
      <c r="B61" s="97"/>
      <c r="C61" s="228"/>
      <c r="D61" s="209"/>
      <c r="E61" s="313" t="s">
        <v>341</v>
      </c>
      <c r="F61" s="74">
        <f>'Gweithgareddau eraill'!Z33</f>
        <v>0</v>
      </c>
      <c r="G61" s="51"/>
      <c r="H61" s="51"/>
      <c r="I61" s="207">
        <f>F61*J61</f>
        <v>0</v>
      </c>
      <c r="J61" s="208">
        <v>976</v>
      </c>
      <c r="K61" s="51"/>
      <c r="L61" s="20"/>
      <c r="M61" s="50">
        <f>IF(F61&gt;0,J61,0)</f>
        <v>0</v>
      </c>
      <c r="N61" s="48"/>
      <c r="O61" s="48"/>
      <c r="P61" s="20"/>
      <c r="Q61" s="20"/>
      <c r="R61" s="52"/>
      <c r="T61" s="20"/>
      <c r="U61" s="22"/>
      <c r="V61" s="20"/>
      <c r="W61" s="20"/>
      <c r="X61" s="20"/>
      <c r="Y61" s="20"/>
      <c r="Z61" s="20"/>
      <c r="AA61" s="20"/>
      <c r="AB61" s="20"/>
      <c r="AC61" s="20"/>
      <c r="AD61" s="20"/>
      <c r="AE61" s="20"/>
      <c r="AF61" s="20"/>
      <c r="AG61" s="20"/>
      <c r="AH61" s="20"/>
      <c r="AI61" s="20"/>
      <c r="AJ61" s="20"/>
    </row>
    <row r="62" spans="1:38" ht="33" customHeight="1" x14ac:dyDescent="0.25">
      <c r="A62" s="20"/>
      <c r="B62" s="97"/>
      <c r="C62" s="228"/>
      <c r="D62" s="209"/>
      <c r="E62" s="313" t="s">
        <v>342</v>
      </c>
      <c r="F62" s="74">
        <f>'Gweithgareddau eraill'!X33</f>
        <v>0</v>
      </c>
      <c r="G62" s="51"/>
      <c r="H62" s="51"/>
      <c r="I62" s="207">
        <f>F62*J62</f>
        <v>0</v>
      </c>
      <c r="J62" s="212">
        <v>976</v>
      </c>
      <c r="K62" s="51"/>
      <c r="L62" s="20"/>
      <c r="M62" s="50">
        <f>IF(I62&lt;(3*J62),I62,(3*J62))</f>
        <v>0</v>
      </c>
      <c r="N62" s="48"/>
      <c r="O62" s="48"/>
      <c r="P62" s="20"/>
      <c r="Q62" s="20"/>
      <c r="R62" s="52"/>
      <c r="T62" s="20"/>
      <c r="U62" s="22"/>
      <c r="V62" s="20"/>
      <c r="W62" s="20"/>
      <c r="X62" s="20"/>
      <c r="Y62" s="20"/>
      <c r="Z62" s="20"/>
      <c r="AA62" s="20"/>
      <c r="AB62" s="20"/>
      <c r="AC62" s="20"/>
      <c r="AD62" s="20"/>
      <c r="AE62" s="20"/>
      <c r="AF62" s="20"/>
      <c r="AG62" s="20"/>
      <c r="AH62" s="20"/>
      <c r="AI62" s="20"/>
      <c r="AJ62" s="20"/>
    </row>
    <row r="63" spans="1:38" ht="45" customHeight="1" x14ac:dyDescent="0.25">
      <c r="A63" s="20"/>
      <c r="B63" s="97"/>
      <c r="C63" s="213"/>
      <c r="D63" s="214"/>
      <c r="E63" s="313" t="s">
        <v>343</v>
      </c>
      <c r="F63" s="74">
        <f>'Gweithgareddau eraill'!AA33</f>
        <v>0</v>
      </c>
      <c r="G63" s="51"/>
      <c r="H63" s="51"/>
      <c r="I63" s="207">
        <f>F63*J63</f>
        <v>0</v>
      </c>
      <c r="J63" s="212">
        <v>1661.6000000000001</v>
      </c>
      <c r="K63" s="51"/>
      <c r="L63" s="20"/>
      <c r="M63" s="50">
        <f>IF(I63&lt;(3*J63),I63,(3*J63))</f>
        <v>0</v>
      </c>
      <c r="N63" s="48"/>
      <c r="O63" s="48"/>
      <c r="P63" s="20"/>
      <c r="Q63" s="20"/>
      <c r="R63" s="52"/>
      <c r="T63" s="20"/>
      <c r="U63" s="22"/>
      <c r="V63" s="20"/>
      <c r="W63" s="20"/>
      <c r="X63" s="20"/>
      <c r="Y63" s="20"/>
      <c r="Z63" s="20"/>
      <c r="AA63" s="20"/>
      <c r="AB63" s="20"/>
      <c r="AC63" s="20"/>
      <c r="AD63" s="20"/>
      <c r="AE63" s="20"/>
      <c r="AF63" s="20"/>
      <c r="AG63" s="20"/>
      <c r="AH63" s="20"/>
      <c r="AI63" s="20"/>
      <c r="AJ63" s="20"/>
    </row>
    <row r="64" spans="1:38" ht="45.95" customHeight="1" x14ac:dyDescent="0.25">
      <c r="A64" s="20"/>
      <c r="B64" s="97"/>
      <c r="C64" s="20"/>
      <c r="D64" s="103"/>
      <c r="E64" s="20"/>
      <c r="F64" s="20"/>
      <c r="G64" s="51"/>
      <c r="H64" s="51" t="str">
        <f>IF(OR('Gweithgareddau eraill'!G11="incomplete",'Gweithgareddau eraill'!J11="incomplete",'Gweithgareddau eraill'!I11="incomplete"),"incomplete","complete")</f>
        <v>complete</v>
      </c>
      <c r="I64" s="20"/>
      <c r="J64" s="20"/>
      <c r="K64" s="215"/>
      <c r="L64" s="216"/>
      <c r="M64" s="217">
        <f>SUM(M55:M63)</f>
        <v>0</v>
      </c>
      <c r="N64" s="357" t="s">
        <v>269</v>
      </c>
      <c r="O64" s="218"/>
      <c r="P64" s="48"/>
      <c r="Q64" s="48"/>
      <c r="T64" s="86"/>
      <c r="U64" s="22"/>
      <c r="V64" s="20"/>
      <c r="W64" s="20"/>
      <c r="X64" s="20"/>
      <c r="Y64" s="20"/>
      <c r="Z64" s="20"/>
      <c r="AA64" s="20"/>
      <c r="AB64" s="20"/>
      <c r="AC64" s="20"/>
      <c r="AD64" s="20"/>
      <c r="AE64" s="20"/>
      <c r="AF64" s="20"/>
      <c r="AG64" s="20"/>
      <c r="AH64" s="20"/>
      <c r="AI64" s="20"/>
      <c r="AJ64" s="20"/>
      <c r="AK64" s="20"/>
      <c r="AL64" s="20"/>
    </row>
    <row r="65" spans="1:38" ht="28.5" customHeight="1" x14ac:dyDescent="0.25">
      <c r="A65" s="20"/>
      <c r="B65" s="97"/>
      <c r="C65" s="48"/>
      <c r="D65" s="20"/>
      <c r="E65" s="48" t="str">
        <f>IF(H64="incomplete","Gwiriwch eich bod wedi cwblhau'r holl wybodaeth am eich Gweithgareddau Eraill ar y daflen flaenorol","")</f>
        <v/>
      </c>
      <c r="F65" s="20"/>
      <c r="G65" s="286" t="str">
        <f>+'Gweithgareddau eraill'!G11</f>
        <v/>
      </c>
      <c r="H65" s="181" t="str">
        <f>+'Gweithgareddau eraill'!I11</f>
        <v/>
      </c>
      <c r="I65" s="103"/>
      <c r="J65" s="20"/>
      <c r="K65" s="51"/>
      <c r="L65" s="20"/>
      <c r="M65" s="20"/>
      <c r="N65" s="20"/>
      <c r="O65" s="99"/>
      <c r="P65" s="48"/>
      <c r="Q65" s="48"/>
      <c r="T65" s="86"/>
      <c r="U65" s="22"/>
      <c r="V65" s="20"/>
      <c r="W65" s="20"/>
      <c r="X65" s="20"/>
      <c r="Y65" s="20"/>
      <c r="Z65" s="20"/>
      <c r="AA65" s="20"/>
      <c r="AB65" s="20"/>
      <c r="AC65" s="20"/>
      <c r="AD65" s="20"/>
      <c r="AE65" s="20"/>
      <c r="AF65" s="20"/>
      <c r="AG65" s="20"/>
      <c r="AH65" s="20"/>
      <c r="AI65" s="20"/>
      <c r="AJ65" s="20"/>
      <c r="AK65" s="20"/>
      <c r="AL65" s="20"/>
    </row>
    <row r="66" spans="1:38" ht="28.5" customHeight="1" x14ac:dyDescent="0.25">
      <c r="A66" s="20"/>
      <c r="B66" s="97"/>
      <c r="C66" s="48"/>
      <c r="D66" s="103"/>
      <c r="E66" s="20"/>
      <c r="F66" s="20"/>
      <c r="G66" s="51"/>
      <c r="H66" s="51"/>
      <c r="I66" s="20"/>
      <c r="J66" s="20"/>
      <c r="K66" s="51"/>
      <c r="L66" s="20"/>
      <c r="M66" s="20"/>
      <c r="N66" s="20"/>
      <c r="O66" s="48"/>
      <c r="P66" s="48"/>
      <c r="Q66" s="48"/>
      <c r="T66" s="86"/>
      <c r="U66" s="22"/>
      <c r="V66" s="58"/>
      <c r="W66" s="20"/>
      <c r="X66" s="20"/>
      <c r="Y66" s="20"/>
      <c r="Z66" s="20"/>
      <c r="AA66" s="20"/>
      <c r="AB66" s="20"/>
      <c r="AC66" s="20"/>
      <c r="AD66" s="20"/>
      <c r="AE66" s="20"/>
      <c r="AF66" s="20"/>
      <c r="AG66" s="20"/>
      <c r="AH66" s="20"/>
      <c r="AI66" s="20"/>
      <c r="AJ66" s="20"/>
      <c r="AK66" s="20"/>
      <c r="AL66" s="20"/>
    </row>
    <row r="67" spans="1:38" ht="35.25" customHeight="1" x14ac:dyDescent="0.3">
      <c r="A67" s="20"/>
      <c r="B67" s="19"/>
      <c r="C67" s="517" t="s">
        <v>327</v>
      </c>
      <c r="D67" s="518"/>
      <c r="E67" s="518"/>
      <c r="F67" s="519"/>
      <c r="G67" s="51"/>
      <c r="H67" s="51"/>
      <c r="I67" s="20"/>
      <c r="J67" s="20"/>
      <c r="K67" s="51"/>
      <c r="L67" s="20"/>
      <c r="M67" s="20"/>
      <c r="N67" s="20"/>
      <c r="O67" s="20"/>
      <c r="P67" s="48"/>
      <c r="Q67" s="48"/>
      <c r="T67" s="20"/>
      <c r="U67" s="22"/>
      <c r="V67" s="20"/>
      <c r="W67" s="20"/>
      <c r="X67" s="20"/>
      <c r="Y67" s="20"/>
      <c r="Z67" s="20"/>
      <c r="AA67" s="20"/>
      <c r="AB67" s="20"/>
      <c r="AC67" s="20"/>
      <c r="AD67" s="20"/>
      <c r="AE67" s="20"/>
      <c r="AF67" s="20"/>
      <c r="AG67" s="20"/>
      <c r="AH67" s="20"/>
      <c r="AI67" s="20"/>
      <c r="AJ67" s="20"/>
      <c r="AK67" s="20"/>
      <c r="AL67" s="20"/>
    </row>
    <row r="68" spans="1:38" x14ac:dyDescent="0.25">
      <c r="A68" s="20"/>
      <c r="B68" s="19"/>
      <c r="C68" s="20"/>
      <c r="D68" s="20"/>
      <c r="E68" s="20"/>
      <c r="F68" s="20"/>
      <c r="G68" s="51"/>
      <c r="H68" s="51"/>
      <c r="I68" s="20"/>
      <c r="J68" s="20"/>
      <c r="K68" s="51"/>
      <c r="L68" s="20"/>
      <c r="M68" s="20"/>
      <c r="N68" s="20"/>
      <c r="O68" s="20"/>
      <c r="P68" s="48"/>
      <c r="Q68" s="48"/>
      <c r="T68" s="20"/>
      <c r="U68" s="22"/>
      <c r="V68" s="20"/>
      <c r="W68" s="20"/>
      <c r="X68" s="20"/>
      <c r="Y68" s="20"/>
      <c r="Z68" s="20"/>
      <c r="AA68" s="20"/>
      <c r="AB68" s="20"/>
      <c r="AC68" s="20"/>
      <c r="AD68" s="20"/>
      <c r="AE68" s="20"/>
      <c r="AF68" s="20"/>
      <c r="AG68" s="20"/>
      <c r="AH68" s="20"/>
      <c r="AI68" s="20"/>
      <c r="AJ68" s="20"/>
      <c r="AK68" s="20"/>
      <c r="AL68" s="20"/>
    </row>
    <row r="69" spans="1:38" ht="41.25" customHeight="1" x14ac:dyDescent="0.25">
      <c r="A69" s="20"/>
      <c r="B69" s="19"/>
      <c r="C69" s="515" t="s">
        <v>487</v>
      </c>
      <c r="D69" s="219"/>
      <c r="E69" s="358" t="s">
        <v>182</v>
      </c>
      <c r="F69" s="6"/>
      <c r="G69" s="51"/>
      <c r="H69" s="51"/>
      <c r="I69" s="20"/>
      <c r="J69" s="20"/>
      <c r="K69" s="95"/>
      <c r="L69" s="20"/>
      <c r="M69" s="359" t="s">
        <v>299</v>
      </c>
      <c r="N69" s="360" t="s">
        <v>271</v>
      </c>
      <c r="O69" s="534" t="s">
        <v>488</v>
      </c>
      <c r="P69" s="535"/>
      <c r="Q69" s="536"/>
      <c r="T69" s="20"/>
      <c r="U69" s="22"/>
      <c r="V69" s="20"/>
      <c r="W69" s="20"/>
      <c r="X69" s="20"/>
      <c r="Y69" s="20"/>
      <c r="Z69" s="20"/>
      <c r="AA69" s="20"/>
      <c r="AB69" s="20"/>
      <c r="AC69" s="20"/>
      <c r="AD69" s="20"/>
      <c r="AE69" s="20"/>
      <c r="AF69" s="20"/>
      <c r="AG69" s="20"/>
      <c r="AH69" s="20"/>
      <c r="AI69" s="20"/>
      <c r="AJ69" s="20"/>
      <c r="AK69" s="20"/>
      <c r="AL69" s="20"/>
    </row>
    <row r="70" spans="1:38" ht="30" customHeight="1" x14ac:dyDescent="0.25">
      <c r="A70" s="20"/>
      <c r="B70" s="19"/>
      <c r="C70" s="522"/>
      <c r="D70" s="93">
        <v>1</v>
      </c>
      <c r="E70" s="314" t="s">
        <v>489</v>
      </c>
      <c r="F70" s="84"/>
      <c r="G70" s="104"/>
      <c r="H70" s="105" t="str">
        <f>IF(AND(F70="ie",O70=""),"incomplete","")</f>
        <v/>
      </c>
      <c r="I70" s="520" t="str">
        <f>IF(AND(F70="Ie",O70&gt;0),"",IF(AND(F70="Ie",O70=""),"Darparwch gyfeirnod dogfen yng ngholofn O",""))</f>
        <v/>
      </c>
      <c r="J70" s="521"/>
      <c r="K70" s="51"/>
      <c r="L70" s="106"/>
      <c r="M70" s="107" t="str">
        <f>IF(F70="Ie",N70,"")</f>
        <v/>
      </c>
      <c r="N70" s="108">
        <v>2692</v>
      </c>
      <c r="O70" s="524"/>
      <c r="P70" s="524"/>
      <c r="Q70" s="524"/>
      <c r="T70" s="20"/>
      <c r="U70" s="22"/>
      <c r="V70" s="20"/>
      <c r="W70" s="20"/>
      <c r="X70" s="20"/>
      <c r="Y70" s="20"/>
      <c r="Z70" s="20"/>
      <c r="AA70" s="20"/>
      <c r="AB70" s="20"/>
      <c r="AC70" s="20"/>
      <c r="AD70" s="20"/>
      <c r="AE70" s="20"/>
      <c r="AF70" s="20"/>
      <c r="AG70" s="20"/>
      <c r="AH70" s="20"/>
      <c r="AI70" s="20"/>
      <c r="AJ70" s="20"/>
      <c r="AK70" s="20"/>
      <c r="AL70" s="20"/>
    </row>
    <row r="71" spans="1:38" ht="30" customHeight="1" x14ac:dyDescent="0.25">
      <c r="A71" s="20"/>
      <c r="B71" s="19"/>
      <c r="C71" s="522"/>
      <c r="D71" s="93">
        <v>2</v>
      </c>
      <c r="E71" s="314" t="s">
        <v>490</v>
      </c>
      <c r="F71" s="84"/>
      <c r="G71" s="51"/>
      <c r="H71" s="105" t="str">
        <f t="shared" ref="H71:H77" si="0">IF(AND(F71="ie",O71=""),"incomplete","")</f>
        <v/>
      </c>
      <c r="I71" s="520" t="str">
        <f t="shared" ref="I71:I77" si="1">IF(AND(F71="Ie",O71&gt;0),"",IF(AND(F71="Ie",O71=""),"Darparwch gyfeirnod dogfen yng ngholofn O",""))</f>
        <v/>
      </c>
      <c r="J71" s="521"/>
      <c r="K71" s="51"/>
      <c r="L71" s="106"/>
      <c r="M71" s="107" t="str">
        <f t="shared" ref="M71:M77" si="2">IF(F71="Ie",N71,"")</f>
        <v/>
      </c>
      <c r="N71" s="108">
        <v>1619</v>
      </c>
      <c r="O71" s="524"/>
      <c r="P71" s="524"/>
      <c r="Q71" s="524"/>
      <c r="T71" s="20"/>
      <c r="U71" s="22"/>
      <c r="V71" s="20"/>
      <c r="W71" s="20"/>
      <c r="X71" s="20"/>
      <c r="Y71" s="20"/>
      <c r="Z71" s="20"/>
      <c r="AA71" s="20"/>
      <c r="AB71" s="20"/>
      <c r="AC71" s="20"/>
      <c r="AD71" s="20"/>
      <c r="AE71" s="20"/>
      <c r="AF71" s="20"/>
      <c r="AG71" s="20"/>
      <c r="AH71" s="20"/>
      <c r="AI71" s="20"/>
      <c r="AJ71" s="20"/>
      <c r="AK71" s="20"/>
      <c r="AL71" s="20"/>
    </row>
    <row r="72" spans="1:38" ht="30" customHeight="1" x14ac:dyDescent="0.25">
      <c r="A72" s="20"/>
      <c r="B72" s="19"/>
      <c r="C72" s="522"/>
      <c r="D72" s="93">
        <v>3</v>
      </c>
      <c r="E72" s="314" t="s">
        <v>297</v>
      </c>
      <c r="F72" s="84"/>
      <c r="G72" s="51"/>
      <c r="H72" s="105" t="str">
        <f t="shared" si="0"/>
        <v/>
      </c>
      <c r="I72" s="520" t="str">
        <f t="shared" si="1"/>
        <v/>
      </c>
      <c r="J72" s="521"/>
      <c r="K72" s="51"/>
      <c r="L72" s="106"/>
      <c r="M72" s="107" t="str">
        <f t="shared" si="2"/>
        <v/>
      </c>
      <c r="N72" s="108">
        <v>1657</v>
      </c>
      <c r="O72" s="524"/>
      <c r="P72" s="524"/>
      <c r="Q72" s="524"/>
      <c r="T72" s="20"/>
      <c r="U72" s="22"/>
      <c r="V72" s="20"/>
      <c r="W72" s="20"/>
      <c r="X72" s="20"/>
      <c r="Y72" s="20"/>
      <c r="Z72" s="20"/>
      <c r="AA72" s="20"/>
      <c r="AB72" s="20"/>
      <c r="AC72" s="20"/>
      <c r="AD72" s="20"/>
      <c r="AE72" s="20"/>
      <c r="AF72" s="20"/>
      <c r="AG72" s="20"/>
      <c r="AH72" s="20"/>
      <c r="AI72" s="20"/>
      <c r="AJ72" s="20"/>
      <c r="AK72" s="20"/>
      <c r="AL72" s="20"/>
    </row>
    <row r="73" spans="1:38" ht="30" customHeight="1" x14ac:dyDescent="0.25">
      <c r="A73" s="20"/>
      <c r="B73" s="19"/>
      <c r="C73" s="522"/>
      <c r="D73" s="93">
        <v>4</v>
      </c>
      <c r="E73" s="314" t="s">
        <v>491</v>
      </c>
      <c r="F73" s="84"/>
      <c r="G73" s="51"/>
      <c r="H73" s="105" t="str">
        <f t="shared" si="0"/>
        <v/>
      </c>
      <c r="I73" s="520" t="str">
        <f t="shared" si="1"/>
        <v/>
      </c>
      <c r="J73" s="521"/>
      <c r="K73" s="51"/>
      <c r="L73" s="106"/>
      <c r="M73" s="107" t="str">
        <f t="shared" si="2"/>
        <v/>
      </c>
      <c r="N73" s="108">
        <v>3380</v>
      </c>
      <c r="O73" s="524"/>
      <c r="P73" s="524"/>
      <c r="Q73" s="524"/>
      <c r="T73" s="20"/>
      <c r="U73" s="22"/>
      <c r="V73" s="20"/>
      <c r="W73" s="20"/>
      <c r="X73" s="20"/>
      <c r="Y73" s="20"/>
      <c r="Z73" s="20"/>
      <c r="AA73" s="20"/>
      <c r="AB73" s="20"/>
      <c r="AC73" s="20"/>
      <c r="AD73" s="20"/>
      <c r="AE73" s="20"/>
      <c r="AF73" s="20"/>
      <c r="AG73" s="20"/>
      <c r="AH73" s="20"/>
      <c r="AI73" s="20"/>
      <c r="AJ73" s="20"/>
      <c r="AK73" s="20"/>
      <c r="AL73" s="20"/>
    </row>
    <row r="74" spans="1:38" ht="30" customHeight="1" x14ac:dyDescent="0.25">
      <c r="A74" s="20"/>
      <c r="B74" s="19"/>
      <c r="C74" s="522"/>
      <c r="D74" s="93">
        <v>5</v>
      </c>
      <c r="E74" s="314" t="s">
        <v>492</v>
      </c>
      <c r="F74" s="84"/>
      <c r="G74" s="51"/>
      <c r="H74" s="105" t="str">
        <f t="shared" si="0"/>
        <v/>
      </c>
      <c r="I74" s="520" t="str">
        <f t="shared" si="1"/>
        <v/>
      </c>
      <c r="J74" s="521"/>
      <c r="K74" s="51"/>
      <c r="L74" s="106"/>
      <c r="M74" s="107" t="str">
        <f t="shared" si="2"/>
        <v/>
      </c>
      <c r="N74" s="108">
        <v>2425</v>
      </c>
      <c r="O74" s="524"/>
      <c r="P74" s="524"/>
      <c r="Q74" s="524"/>
      <c r="T74" s="20"/>
      <c r="U74" s="22"/>
      <c r="V74" s="20"/>
      <c r="W74" s="20"/>
      <c r="X74" s="20"/>
      <c r="Y74" s="20"/>
      <c r="Z74" s="20"/>
      <c r="AA74" s="20"/>
      <c r="AB74" s="20"/>
      <c r="AC74" s="20"/>
      <c r="AD74" s="20"/>
      <c r="AE74" s="20"/>
      <c r="AF74" s="20"/>
    </row>
    <row r="75" spans="1:38" ht="30" customHeight="1" x14ac:dyDescent="0.25">
      <c r="A75" s="20"/>
      <c r="B75" s="19"/>
      <c r="C75" s="522"/>
      <c r="D75" s="93">
        <v>6</v>
      </c>
      <c r="E75" s="314" t="s">
        <v>298</v>
      </c>
      <c r="F75" s="84"/>
      <c r="G75" s="51"/>
      <c r="H75" s="105" t="str">
        <f t="shared" si="0"/>
        <v/>
      </c>
      <c r="I75" s="520" t="str">
        <f t="shared" si="1"/>
        <v/>
      </c>
      <c r="J75" s="521"/>
      <c r="K75" s="51"/>
      <c r="L75" s="106"/>
      <c r="M75" s="107" t="str">
        <f t="shared" si="2"/>
        <v/>
      </c>
      <c r="N75" s="108">
        <v>1734</v>
      </c>
      <c r="O75" s="524"/>
      <c r="P75" s="524"/>
      <c r="Q75" s="524"/>
      <c r="T75" s="20"/>
      <c r="U75" s="22"/>
      <c r="V75" s="20"/>
      <c r="W75" s="20"/>
      <c r="X75" s="20"/>
      <c r="Y75" s="20"/>
      <c r="Z75" s="20"/>
      <c r="AA75" s="20"/>
      <c r="AB75" s="20"/>
      <c r="AC75" s="20"/>
      <c r="AD75" s="20"/>
      <c r="AE75" s="20"/>
      <c r="AF75" s="20"/>
    </row>
    <row r="76" spans="1:38" ht="30" customHeight="1" x14ac:dyDescent="0.25">
      <c r="A76" s="20"/>
      <c r="B76" s="19"/>
      <c r="C76" s="522"/>
      <c r="D76" s="93">
        <v>7</v>
      </c>
      <c r="E76" s="314" t="s">
        <v>493</v>
      </c>
      <c r="F76" s="84"/>
      <c r="G76" s="51"/>
      <c r="H76" s="105" t="str">
        <f t="shared" si="0"/>
        <v/>
      </c>
      <c r="I76" s="520" t="str">
        <f t="shared" si="1"/>
        <v/>
      </c>
      <c r="J76" s="521"/>
      <c r="K76" s="51"/>
      <c r="L76" s="106"/>
      <c r="M76" s="107" t="str">
        <f t="shared" si="2"/>
        <v/>
      </c>
      <c r="N76" s="108">
        <v>2343</v>
      </c>
      <c r="O76" s="524"/>
      <c r="P76" s="524"/>
      <c r="Q76" s="524"/>
      <c r="T76" s="20"/>
      <c r="U76" s="22"/>
      <c r="V76" s="20"/>
      <c r="W76" s="20"/>
      <c r="X76" s="20"/>
      <c r="Y76" s="20"/>
      <c r="Z76" s="20"/>
      <c r="AA76" s="20"/>
      <c r="AB76" s="20"/>
      <c r="AC76" s="20"/>
      <c r="AD76" s="20"/>
      <c r="AE76" s="20"/>
      <c r="AF76" s="20"/>
    </row>
    <row r="77" spans="1:38" ht="30" customHeight="1" x14ac:dyDescent="0.25">
      <c r="A77" s="20"/>
      <c r="B77" s="19"/>
      <c r="C77" s="523"/>
      <c r="D77" s="93">
        <v>8</v>
      </c>
      <c r="E77" s="314" t="s">
        <v>270</v>
      </c>
      <c r="F77" s="84"/>
      <c r="G77" s="109"/>
      <c r="H77" s="105" t="str">
        <f t="shared" si="0"/>
        <v/>
      </c>
      <c r="I77" s="520" t="str">
        <f t="shared" si="1"/>
        <v/>
      </c>
      <c r="J77" s="521"/>
      <c r="K77" s="95"/>
      <c r="L77" s="106"/>
      <c r="M77" s="107" t="str">
        <f t="shared" si="2"/>
        <v/>
      </c>
      <c r="N77" s="108">
        <v>3222</v>
      </c>
      <c r="O77" s="524"/>
      <c r="P77" s="524"/>
      <c r="Q77" s="524"/>
      <c r="T77" s="20"/>
      <c r="U77" s="22"/>
      <c r="V77" s="20"/>
      <c r="W77" s="20"/>
      <c r="X77" s="20"/>
      <c r="Y77" s="20"/>
      <c r="Z77" s="20"/>
      <c r="AA77" s="20"/>
      <c r="AB77" s="20"/>
      <c r="AC77" s="20"/>
      <c r="AD77" s="20"/>
      <c r="AE77" s="20"/>
      <c r="AF77" s="20"/>
    </row>
    <row r="78" spans="1:38" ht="21.75" customHeight="1" x14ac:dyDescent="0.25">
      <c r="A78" s="20"/>
      <c r="B78" s="19"/>
      <c r="C78" s="20"/>
      <c r="D78" s="20"/>
      <c r="E78" s="20"/>
      <c r="F78" s="20"/>
      <c r="G78" s="51"/>
      <c r="H78" s="51"/>
      <c r="I78" s="20"/>
      <c r="J78" s="20"/>
      <c r="K78" s="51"/>
      <c r="L78" s="20"/>
      <c r="M78" s="111">
        <f>SUM(M70:M77)</f>
        <v>0</v>
      </c>
      <c r="N78" s="20"/>
      <c r="O78" s="20"/>
      <c r="P78" s="20"/>
      <c r="Q78" s="20"/>
      <c r="T78" s="20"/>
      <c r="U78" s="22"/>
      <c r="V78" s="20"/>
      <c r="W78" s="20"/>
      <c r="X78" s="20"/>
      <c r="Y78" s="20"/>
      <c r="Z78" s="20"/>
      <c r="AA78" s="20"/>
      <c r="AB78" s="20"/>
      <c r="AC78" s="20"/>
      <c r="AD78" s="20"/>
      <c r="AE78" s="20"/>
      <c r="AF78" s="20"/>
    </row>
    <row r="79" spans="1:38" x14ac:dyDescent="0.25">
      <c r="A79" s="20"/>
      <c r="B79" s="19"/>
      <c r="C79" s="20"/>
      <c r="D79" s="20"/>
      <c r="E79" s="20"/>
      <c r="F79" s="20"/>
      <c r="G79" s="51"/>
      <c r="H79" s="51"/>
      <c r="I79" s="20"/>
      <c r="J79" s="20"/>
      <c r="K79" s="51"/>
      <c r="L79" s="20"/>
      <c r="M79" s="20"/>
      <c r="N79" s="20"/>
      <c r="O79" s="20"/>
      <c r="P79" s="20"/>
      <c r="Q79" s="20"/>
      <c r="T79" s="20"/>
      <c r="U79" s="22"/>
      <c r="V79" s="20"/>
      <c r="W79" s="20"/>
      <c r="X79" s="20"/>
      <c r="Y79" s="20"/>
      <c r="Z79" s="20"/>
      <c r="AA79" s="20"/>
      <c r="AB79" s="20"/>
      <c r="AC79" s="20"/>
      <c r="AD79" s="20"/>
      <c r="AE79" s="20"/>
      <c r="AF79" s="20"/>
    </row>
    <row r="80" spans="1:38" x14ac:dyDescent="0.25">
      <c r="A80" s="20"/>
      <c r="B80" s="19"/>
      <c r="C80" s="20"/>
      <c r="D80" s="20"/>
      <c r="E80" s="20"/>
      <c r="F80" s="20"/>
      <c r="G80" s="51"/>
      <c r="H80" s="51"/>
      <c r="I80" s="20"/>
      <c r="J80" s="20"/>
      <c r="K80" s="51"/>
      <c r="L80" s="20"/>
      <c r="M80" s="20"/>
      <c r="N80" s="20"/>
      <c r="O80" s="20"/>
      <c r="P80" s="20"/>
      <c r="Q80" s="20"/>
      <c r="T80" s="20"/>
      <c r="U80" s="22"/>
      <c r="V80" s="20"/>
      <c r="W80" s="20"/>
      <c r="X80" s="20"/>
      <c r="Y80" s="20"/>
      <c r="Z80" s="20"/>
      <c r="AA80" s="20"/>
      <c r="AB80" s="20"/>
      <c r="AC80" s="20"/>
      <c r="AD80" s="20"/>
      <c r="AE80" s="20"/>
      <c r="AF80" s="20"/>
    </row>
    <row r="81" spans="1:32" ht="30.75" x14ac:dyDescent="0.3">
      <c r="A81" s="20"/>
      <c r="B81" s="19"/>
      <c r="C81" s="20"/>
      <c r="D81" s="20"/>
      <c r="E81" s="361" t="s">
        <v>283</v>
      </c>
      <c r="F81" s="20"/>
      <c r="G81" s="51"/>
      <c r="H81" s="51"/>
      <c r="I81" s="20"/>
      <c r="J81" s="20"/>
      <c r="K81" s="51"/>
      <c r="L81" s="20"/>
      <c r="M81" s="220">
        <f>SUM(M78+K51+K52+M64)</f>
        <v>0</v>
      </c>
      <c r="N81" s="528" t="s">
        <v>430</v>
      </c>
      <c r="O81" s="529"/>
      <c r="P81" s="20"/>
      <c r="Q81" s="20"/>
      <c r="T81" s="20"/>
      <c r="U81" s="22"/>
      <c r="V81" s="20"/>
      <c r="W81" s="20"/>
      <c r="X81" s="20"/>
      <c r="Y81" s="20"/>
      <c r="Z81" s="20"/>
      <c r="AA81" s="20"/>
      <c r="AB81" s="20"/>
      <c r="AC81" s="20"/>
      <c r="AD81" s="20"/>
      <c r="AE81" s="20"/>
      <c r="AF81" s="20"/>
    </row>
    <row r="82" spans="1:32" x14ac:dyDescent="0.25">
      <c r="A82" s="20"/>
      <c r="B82" s="19"/>
      <c r="C82" s="20"/>
      <c r="D82" s="20"/>
      <c r="E82" s="20"/>
      <c r="F82" s="20"/>
      <c r="G82" s="51"/>
      <c r="H82" s="51"/>
      <c r="I82" s="20"/>
      <c r="J82" s="20"/>
      <c r="K82" s="51"/>
      <c r="L82" s="20"/>
      <c r="M82" s="20"/>
      <c r="N82" s="20"/>
      <c r="O82" s="20"/>
      <c r="P82" s="20"/>
      <c r="Q82" s="20"/>
      <c r="T82" s="20"/>
      <c r="U82" s="22"/>
      <c r="V82" s="20"/>
      <c r="W82" s="20"/>
      <c r="X82" s="20"/>
      <c r="Y82" s="20"/>
      <c r="Z82" s="20"/>
      <c r="AA82" s="20"/>
      <c r="AB82" s="20"/>
      <c r="AC82" s="20"/>
      <c r="AD82" s="20"/>
      <c r="AE82" s="20"/>
      <c r="AF82" s="20"/>
    </row>
    <row r="83" spans="1:32" x14ac:dyDescent="0.25">
      <c r="A83" s="20"/>
      <c r="B83" s="19"/>
      <c r="C83" s="20"/>
      <c r="D83" s="20"/>
      <c r="E83" s="20"/>
      <c r="F83" s="20"/>
      <c r="G83" s="51"/>
      <c r="H83" s="51"/>
      <c r="I83" s="20"/>
      <c r="J83" s="20"/>
      <c r="K83" s="51"/>
      <c r="L83" s="20"/>
      <c r="M83" s="114">
        <f>M81/S44</f>
        <v>0</v>
      </c>
      <c r="N83" s="315" t="s">
        <v>494</v>
      </c>
      <c r="O83" s="20"/>
      <c r="P83" s="20"/>
      <c r="Q83" s="20"/>
      <c r="T83" s="20"/>
      <c r="U83" s="22"/>
      <c r="V83" s="20"/>
      <c r="W83" s="20"/>
      <c r="X83" s="20"/>
      <c r="Y83" s="20"/>
      <c r="Z83" s="20"/>
      <c r="AA83" s="20"/>
      <c r="AB83" s="20"/>
      <c r="AC83" s="20"/>
      <c r="AD83" s="20"/>
      <c r="AE83" s="20"/>
      <c r="AF83" s="20"/>
    </row>
    <row r="84" spans="1:32" x14ac:dyDescent="0.25">
      <c r="A84" s="20"/>
      <c r="B84" s="19"/>
      <c r="C84" s="20"/>
      <c r="D84" s="20"/>
      <c r="E84" s="20"/>
      <c r="F84" s="20"/>
      <c r="G84" s="51"/>
      <c r="H84" s="51"/>
      <c r="I84" s="20"/>
      <c r="J84" s="20"/>
      <c r="K84" s="51"/>
      <c r="L84" s="20"/>
      <c r="M84" s="20"/>
      <c r="N84" s="20"/>
      <c r="O84" s="20"/>
      <c r="P84" s="20"/>
      <c r="Q84" s="20"/>
      <c r="T84" s="20"/>
      <c r="U84" s="22"/>
      <c r="V84" s="20"/>
      <c r="W84" s="20"/>
      <c r="X84" s="20"/>
      <c r="Y84" s="20"/>
      <c r="Z84" s="20"/>
      <c r="AA84" s="20"/>
      <c r="AB84" s="20"/>
      <c r="AC84" s="20"/>
      <c r="AD84" s="20"/>
      <c r="AE84" s="20"/>
      <c r="AF84" s="20"/>
    </row>
    <row r="85" spans="1:32" x14ac:dyDescent="0.25">
      <c r="A85" s="20"/>
      <c r="B85" s="19"/>
      <c r="C85" s="20"/>
      <c r="D85" s="20"/>
      <c r="E85" s="20"/>
      <c r="F85" s="20"/>
      <c r="G85" s="51"/>
      <c r="H85" s="51"/>
      <c r="I85" s="20"/>
      <c r="J85" s="20"/>
      <c r="K85" s="51"/>
      <c r="L85" s="20"/>
      <c r="M85" s="20"/>
      <c r="N85" s="20"/>
      <c r="O85" s="20"/>
      <c r="P85" s="20"/>
      <c r="Q85" s="20"/>
      <c r="T85" s="20"/>
      <c r="U85" s="22"/>
      <c r="V85" s="20"/>
      <c r="W85" s="20"/>
      <c r="X85" s="20"/>
      <c r="Y85" s="20"/>
      <c r="Z85" s="20"/>
      <c r="AA85" s="20"/>
      <c r="AB85" s="20"/>
      <c r="AC85" s="20"/>
      <c r="AD85" s="20"/>
      <c r="AE85" s="20"/>
      <c r="AF85" s="20"/>
    </row>
    <row r="86" spans="1:32" x14ac:dyDescent="0.25">
      <c r="A86" s="20"/>
      <c r="B86" s="19"/>
      <c r="C86" s="20"/>
      <c r="D86" s="20"/>
      <c r="E86" s="20"/>
      <c r="F86" s="20"/>
      <c r="G86" s="51"/>
      <c r="H86" s="51"/>
      <c r="I86" s="20"/>
      <c r="J86" s="20"/>
      <c r="K86" s="51"/>
      <c r="L86" s="20"/>
      <c r="M86" s="20"/>
      <c r="N86" s="20"/>
      <c r="O86" s="20"/>
      <c r="P86" s="20"/>
      <c r="Q86" s="20"/>
      <c r="T86" s="20"/>
      <c r="U86" s="22"/>
      <c r="V86" s="20"/>
      <c r="W86" s="20"/>
      <c r="X86" s="20"/>
      <c r="Y86" s="20"/>
      <c r="Z86" s="20"/>
      <c r="AA86" s="20"/>
      <c r="AB86" s="20"/>
      <c r="AC86" s="20"/>
      <c r="AD86" s="20"/>
      <c r="AE86" s="20"/>
      <c r="AF86" s="20"/>
    </row>
    <row r="87" spans="1:32" ht="15.75" thickBot="1" x14ac:dyDescent="0.3">
      <c r="A87" s="20"/>
      <c r="B87" s="26"/>
      <c r="C87" s="27"/>
      <c r="D87" s="27"/>
      <c r="E87" s="27"/>
      <c r="F87" s="27"/>
      <c r="G87" s="57"/>
      <c r="H87" s="57"/>
      <c r="I87" s="27"/>
      <c r="J87" s="27"/>
      <c r="K87" s="57"/>
      <c r="L87" s="27"/>
      <c r="M87" s="27"/>
      <c r="N87" s="27"/>
      <c r="O87" s="27"/>
      <c r="P87" s="27"/>
      <c r="Q87" s="27"/>
      <c r="R87" s="57"/>
      <c r="S87" s="57"/>
      <c r="T87" s="27"/>
      <c r="U87" s="29"/>
      <c r="V87" s="20"/>
      <c r="W87" s="20"/>
      <c r="X87" s="20"/>
      <c r="Y87" s="20"/>
      <c r="Z87" s="20"/>
      <c r="AA87" s="20"/>
      <c r="AB87" s="20"/>
      <c r="AC87" s="20"/>
      <c r="AD87" s="20"/>
      <c r="AE87" s="20"/>
      <c r="AF87" s="20"/>
    </row>
    <row r="88" spans="1:32" x14ac:dyDescent="0.25">
      <c r="A88" s="20"/>
      <c r="B88" s="20"/>
      <c r="C88" s="20"/>
      <c r="D88" s="20"/>
      <c r="E88" s="20"/>
      <c r="F88" s="20"/>
      <c r="G88" s="51"/>
      <c r="H88" s="51"/>
      <c r="I88" s="20"/>
      <c r="J88" s="20"/>
      <c r="K88" s="51"/>
      <c r="L88" s="20"/>
      <c r="M88" s="20"/>
      <c r="N88" s="20"/>
      <c r="O88" s="20"/>
      <c r="P88" s="20"/>
      <c r="Q88" s="20"/>
      <c r="T88" s="20"/>
      <c r="U88" s="20"/>
      <c r="V88" s="20"/>
      <c r="W88" s="20"/>
      <c r="X88" s="20"/>
      <c r="Y88" s="20"/>
      <c r="Z88" s="20"/>
      <c r="AA88" s="20"/>
      <c r="AB88" s="20"/>
      <c r="AC88" s="20"/>
      <c r="AD88" s="20"/>
      <c r="AE88" s="20"/>
      <c r="AF88" s="20"/>
    </row>
  </sheetData>
  <sheetProtection algorithmName="SHA-512" hashValue="lD2NXbiFzluMcttvFkZCnZrWkk6Whw9bcThU0JXR4m14rKqcQx2xe96iQI2i+oy9YSc56bnKl4Nbynwb0fNPPA==" saltValue="/XtvVoo91J1YdVrpPdik5Q==" spinCount="100000" sheet="1" objects="1" scenarios="1"/>
  <mergeCells count="41">
    <mergeCell ref="D11:E11"/>
    <mergeCell ref="C12:C16"/>
    <mergeCell ref="C6:D6"/>
    <mergeCell ref="E6:F6"/>
    <mergeCell ref="C7:D7"/>
    <mergeCell ref="E7:F7"/>
    <mergeCell ref="C9:F9"/>
    <mergeCell ref="E4:F4"/>
    <mergeCell ref="N81:O81"/>
    <mergeCell ref="C43:C46"/>
    <mergeCell ref="E28:E30"/>
    <mergeCell ref="C55:C57"/>
    <mergeCell ref="O69:Q69"/>
    <mergeCell ref="O70:Q70"/>
    <mergeCell ref="O71:Q71"/>
    <mergeCell ref="O72:Q72"/>
    <mergeCell ref="O73:Q73"/>
    <mergeCell ref="O74:Q74"/>
    <mergeCell ref="O75:Q75"/>
    <mergeCell ref="O76:Q76"/>
    <mergeCell ref="I70:J70"/>
    <mergeCell ref="I19:M19"/>
    <mergeCell ref="O13:O15"/>
    <mergeCell ref="O77:Q77"/>
    <mergeCell ref="I77:J77"/>
    <mergeCell ref="I74:J74"/>
    <mergeCell ref="I49:J49"/>
    <mergeCell ref="I71:J71"/>
    <mergeCell ref="I72:J72"/>
    <mergeCell ref="C67:F67"/>
    <mergeCell ref="I73:J73"/>
    <mergeCell ref="C69:C77"/>
    <mergeCell ref="I75:J75"/>
    <mergeCell ref="I76:J76"/>
    <mergeCell ref="C33:C39"/>
    <mergeCell ref="C54:E54"/>
    <mergeCell ref="I51:J51"/>
    <mergeCell ref="I52:J52"/>
    <mergeCell ref="R20:S20"/>
    <mergeCell ref="D21:E21"/>
    <mergeCell ref="C22:C26"/>
  </mergeCells>
  <conditionalFormatting sqref="E19:E20 E43 E46">
    <cfRule type="containsText" dxfId="19" priority="11" operator="containsText" text="Please">
      <formula>NOT(ISERROR(SEARCH("Please",E19)))</formula>
    </cfRule>
  </conditionalFormatting>
  <conditionalFormatting sqref="E28:E30">
    <cfRule type="containsText" dxfId="18" priority="10" operator="containsText" text="Please">
      <formula>NOT(ISERROR(SEARCH("Please",E28)))</formula>
    </cfRule>
    <cfRule type="containsText" dxfId="17" priority="3" operator="containsText" text="bod">
      <formula>NOT(ISERROR(SEARCH("bod",E28)))</formula>
    </cfRule>
  </conditionalFormatting>
  <conditionalFormatting sqref="E48">
    <cfRule type="containsText" dxfId="16" priority="5" operator="containsText" text="Please">
      <formula>NOT(ISERROR(SEARCH("Please",E48)))</formula>
    </cfRule>
    <cfRule type="containsText" dxfId="15" priority="2" operator="containsText" text="bod">
      <formula>NOT(ISERROR(SEARCH("bod",E48)))</formula>
    </cfRule>
  </conditionalFormatting>
  <conditionalFormatting sqref="E65">
    <cfRule type="containsText" dxfId="14" priority="6" operator="containsText" text="Please">
      <formula>NOT(ISERROR(SEARCH("Please",E65)))</formula>
    </cfRule>
    <cfRule type="containsText" dxfId="13" priority="1" operator="containsText" text="bod">
      <formula>NOT(ISERROR(SEARCH("bod",E65)))</formula>
    </cfRule>
  </conditionalFormatting>
  <conditionalFormatting sqref="G18 G21">
    <cfRule type="beginsWith" dxfId="12" priority="29" operator="beginsWith" text="complete">
      <formula>LEFT(G18,LEN("complete"))="complete"</formula>
    </cfRule>
    <cfRule type="beginsWith" dxfId="11" priority="30" operator="beginsWith" text="incomplete">
      <formula>LEFT(G18,LEN("incomplete"))="incomplete"</formula>
    </cfRule>
  </conditionalFormatting>
  <conditionalFormatting sqref="G48 G65:I65 H28:H30 H39 I49:I53">
    <cfRule type="cellIs" dxfId="10" priority="49" operator="equal">
      <formula>"incomplete"</formula>
    </cfRule>
    <cfRule type="cellIs" dxfId="9" priority="50" operator="equal">
      <formula>"complete"</formula>
    </cfRule>
  </conditionalFormatting>
  <conditionalFormatting sqref="G48">
    <cfRule type="containsText" dxfId="8" priority="24" operator="containsText" text="Complete">
      <formula>NOT(ISERROR(SEARCH("Complete",G48)))</formula>
    </cfRule>
  </conditionalFormatting>
  <conditionalFormatting sqref="G64">
    <cfRule type="containsText" dxfId="7" priority="13" operator="containsText" text="complete">
      <formula>NOT(ISERROR(SEARCH("complete",G64)))</formula>
    </cfRule>
    <cfRule type="containsText" dxfId="6" priority="14" operator="containsText" text="complete">
      <formula>NOT(ISERROR(SEARCH("complete",G64)))</formula>
    </cfRule>
  </conditionalFormatting>
  <conditionalFormatting sqref="G64:G65">
    <cfRule type="containsText" dxfId="5" priority="12" operator="containsText" text="incomplete">
      <formula>NOT(ISERROR(SEARCH("incomplete",G64)))</formula>
    </cfRule>
  </conditionalFormatting>
  <conditionalFormatting sqref="G65:H65">
    <cfRule type="containsText" dxfId="4" priority="23" operator="containsText" text="complete">
      <formula>NOT(ISERROR(SEARCH("complete",G65)))</formula>
    </cfRule>
  </conditionalFormatting>
  <conditionalFormatting sqref="H70:H77">
    <cfRule type="cellIs" dxfId="3" priority="8" operator="equal">
      <formula>"Complete"</formula>
    </cfRule>
    <cfRule type="cellIs" dxfId="2" priority="9" operator="equal">
      <formula>"Incomplete"</formula>
    </cfRule>
  </conditionalFormatting>
  <conditionalFormatting sqref="I70:I77">
    <cfRule type="notContainsBlanks" dxfId="1" priority="7">
      <formula>LEN(TRIM(I70))&gt;0</formula>
    </cfRule>
  </conditionalFormatting>
  <conditionalFormatting sqref="E19">
    <cfRule type="containsText" dxfId="0" priority="4" operator="containsText" text="bod">
      <formula>NOT(ISERROR(SEARCH("bod",E19)))</formula>
    </cfRule>
  </conditionalFormatting>
  <dataValidations count="3">
    <dataValidation type="list" allowBlank="1" showInputMessage="1" showErrorMessage="1" sqref="I41 I50 I65 I53" xr:uid="{00000000-0002-0000-0900-000000000000}">
      <formula1>"yes, no"</formula1>
    </dataValidation>
    <dataValidation type="list" allowBlank="1" showInputMessage="1" showErrorMessage="1" sqref="N22:N23 M43 N53 N65 O43:O46 N47:N50 N32:N42" xr:uid="{00000000-0002-0000-0900-000001000000}">
      <formula1>"0,2"</formula1>
    </dataValidation>
    <dataValidation type="list" allowBlank="1" showInputMessage="1" showErrorMessage="1" sqref="I66" xr:uid="{00000000-0002-0000-0900-000002000000}">
      <formula1>"0,1,2,3 or more"</formula1>
    </dataValidation>
  </dataValidations>
  <hyperlinks>
    <hyperlink ref="O13:O15" r:id="rId1" display="Canllawiau ar Newid Sylweddol" xr:uid="{00000000-0004-0000-0900-000000000000}"/>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3000000}">
          <x14:formula1>
            <xm:f>Picklists!$AJ$2:$AJ$5</xm:f>
          </x14:formula1>
          <xm:sqref>I22</xm:sqref>
        </x14:dataValidation>
        <x14:dataValidation type="list" allowBlank="1" showInputMessage="1" showErrorMessage="1" xr:uid="{00000000-0002-0000-0900-000004000000}">
          <x14:formula1>
            <xm:f>Picklists!$AA$2:$AA$3</xm:f>
          </x14:formula1>
          <xm:sqref>F70:F77</xm:sqref>
        </x14:dataValidation>
        <x14:dataValidation type="list" allowBlank="1" showInputMessage="1" showErrorMessage="1" xr:uid="{00000000-0002-0000-0900-000005000000}">
          <x14:formula1>
            <xm:f>Picklists!$AC$2:$AC$3</xm:f>
          </x14:formula1>
          <xm:sqref>I12:I13 I33:I36 I43:I44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E0CC-0749-44ED-970E-2AD5308EED85}">
  <sheetPr>
    <tabColor theme="1"/>
  </sheetPr>
  <dimension ref="A1:AW135"/>
  <sheetViews>
    <sheetView topLeftCell="E1" zoomScale="110" zoomScaleNormal="110" workbookViewId="0">
      <selection activeCell="R3" sqref="R3"/>
    </sheetView>
  </sheetViews>
  <sheetFormatPr defaultRowHeight="15" x14ac:dyDescent="0.25"/>
  <cols>
    <col min="1" max="2" width="9.140625" customWidth="1"/>
    <col min="3" max="3" width="18.7109375" customWidth="1"/>
    <col min="4" max="4" width="26.5703125" customWidth="1"/>
    <col min="5" max="5" width="9.140625" customWidth="1"/>
    <col min="6" max="6" width="10.140625" customWidth="1"/>
    <col min="7" max="7" width="9.140625" customWidth="1"/>
    <col min="8" max="8" width="10" customWidth="1"/>
    <col min="9" max="13" width="9.140625" customWidth="1"/>
    <col min="14" max="14" width="14.85546875" customWidth="1"/>
    <col min="15" max="16" width="18.5703125" customWidth="1"/>
    <col min="17" max="21" width="9.140625" customWidth="1"/>
    <col min="22" max="22" width="21.5703125" customWidth="1"/>
    <col min="23" max="49" width="9.140625" customWidth="1"/>
  </cols>
  <sheetData>
    <row r="1" spans="1:49" ht="105" x14ac:dyDescent="0.25">
      <c r="A1" s="8"/>
      <c r="B1" s="362" t="s">
        <v>454</v>
      </c>
      <c r="C1" s="8"/>
      <c r="D1" s="362" t="s">
        <v>12</v>
      </c>
      <c r="E1" s="8"/>
      <c r="F1" s="8"/>
      <c r="G1" s="8"/>
      <c r="H1" s="288" t="s">
        <v>11</v>
      </c>
      <c r="I1" s="363" t="s">
        <v>319</v>
      </c>
      <c r="J1" s="16"/>
      <c r="K1" s="16"/>
      <c r="L1" s="362" t="s">
        <v>186</v>
      </c>
      <c r="M1" s="8"/>
      <c r="N1" s="362" t="s">
        <v>186</v>
      </c>
      <c r="O1" s="8"/>
      <c r="P1" s="8"/>
      <c r="Q1" s="8"/>
      <c r="R1" s="8"/>
      <c r="S1" s="8"/>
      <c r="T1" s="362" t="s">
        <v>186</v>
      </c>
      <c r="U1" s="8"/>
      <c r="V1" s="362" t="s">
        <v>186</v>
      </c>
      <c r="W1" s="8"/>
      <c r="X1" s="8"/>
      <c r="Y1" s="8"/>
      <c r="Z1" s="8"/>
      <c r="AA1" s="362" t="s">
        <v>294</v>
      </c>
      <c r="AB1" s="8"/>
      <c r="AC1" s="8"/>
      <c r="AD1" s="362" t="s">
        <v>363</v>
      </c>
      <c r="AE1" s="8"/>
      <c r="AF1" s="8"/>
      <c r="AG1" s="8"/>
      <c r="AH1" s="362" t="s">
        <v>200</v>
      </c>
      <c r="AI1" s="362" t="s">
        <v>375</v>
      </c>
      <c r="AJ1" s="364" t="s">
        <v>266</v>
      </c>
      <c r="AK1" s="364" t="s">
        <v>284</v>
      </c>
      <c r="AL1" s="8"/>
    </row>
    <row r="2" spans="1:49" ht="50.25" customHeight="1" x14ac:dyDescent="0.25">
      <c r="B2" s="365" t="s">
        <v>1</v>
      </c>
      <c r="C2" s="365" t="s">
        <v>231</v>
      </c>
      <c r="D2" s="366" t="s">
        <v>441</v>
      </c>
      <c r="E2" s="366" t="s">
        <v>221</v>
      </c>
      <c r="F2" s="365" t="s">
        <v>220</v>
      </c>
      <c r="G2" s="365" t="s">
        <v>432</v>
      </c>
      <c r="H2" s="365" t="s">
        <v>187</v>
      </c>
      <c r="I2" s="365" t="s">
        <v>185</v>
      </c>
      <c r="J2" s="11"/>
      <c r="K2" s="14"/>
      <c r="L2" s="11"/>
      <c r="M2" s="11"/>
      <c r="N2" s="365" t="s">
        <v>17</v>
      </c>
      <c r="O2" s="11"/>
      <c r="P2" s="11"/>
      <c r="Q2" s="11"/>
      <c r="R2" s="11"/>
      <c r="S2" s="11"/>
      <c r="T2" s="11"/>
      <c r="U2" s="11"/>
      <c r="V2" s="365" t="s">
        <v>34</v>
      </c>
      <c r="W2" s="11"/>
      <c r="X2" s="11"/>
      <c r="Y2" s="11"/>
      <c r="Z2" s="11"/>
      <c r="AA2" s="365" t="s">
        <v>36</v>
      </c>
      <c r="AB2" s="11"/>
      <c r="AC2" s="365" t="s">
        <v>36</v>
      </c>
      <c r="AD2" s="365" t="s">
        <v>364</v>
      </c>
      <c r="AE2" s="11"/>
      <c r="AF2" s="365" t="s">
        <v>36</v>
      </c>
      <c r="AG2" s="365" t="s">
        <v>233</v>
      </c>
      <c r="AH2" s="365" t="s">
        <v>36</v>
      </c>
      <c r="AI2" s="365" t="s">
        <v>240</v>
      </c>
      <c r="AJ2" s="11">
        <v>0</v>
      </c>
      <c r="AK2" s="365" t="s">
        <v>394</v>
      </c>
      <c r="AL2" s="11"/>
      <c r="AM2" s="11"/>
      <c r="AN2" s="11"/>
      <c r="AO2" s="11"/>
      <c r="AP2" s="11"/>
      <c r="AQ2" s="11"/>
      <c r="AR2" s="11"/>
      <c r="AS2" s="11"/>
      <c r="AT2" s="11"/>
      <c r="AU2" s="11"/>
      <c r="AV2" s="11"/>
      <c r="AW2" s="11"/>
    </row>
    <row r="3" spans="1:49" ht="75" x14ac:dyDescent="0.25">
      <c r="B3" s="367" t="s">
        <v>36</v>
      </c>
      <c r="C3" s="368" t="s">
        <v>265</v>
      </c>
      <c r="D3" s="369" t="s">
        <v>264</v>
      </c>
      <c r="E3" s="370" t="s">
        <v>3</v>
      </c>
      <c r="F3">
        <v>50</v>
      </c>
      <c r="G3" s="367" t="s">
        <v>443</v>
      </c>
      <c r="H3" s="367" t="s">
        <v>183</v>
      </c>
      <c r="I3" s="367" t="s">
        <v>233</v>
      </c>
      <c r="K3" s="9"/>
      <c r="L3" s="371" t="s">
        <v>15</v>
      </c>
      <c r="N3" s="367" t="s">
        <v>496</v>
      </c>
      <c r="O3" s="367" t="s">
        <v>495</v>
      </c>
      <c r="P3" s="367" t="s">
        <v>497</v>
      </c>
      <c r="Q3" s="367" t="s">
        <v>328</v>
      </c>
      <c r="R3" s="367" t="s">
        <v>172</v>
      </c>
      <c r="S3" s="367" t="s">
        <v>498</v>
      </c>
      <c r="T3" s="367" t="s">
        <v>499</v>
      </c>
      <c r="V3" s="367" t="s">
        <v>441</v>
      </c>
      <c r="W3" s="367" t="s">
        <v>14</v>
      </c>
      <c r="Y3" s="367" t="s">
        <v>35</v>
      </c>
      <c r="AA3" s="367" t="s">
        <v>233</v>
      </c>
      <c r="AC3" s="367" t="s">
        <v>233</v>
      </c>
      <c r="AD3" s="367" t="s">
        <v>365</v>
      </c>
      <c r="AF3" s="367" t="s">
        <v>233</v>
      </c>
      <c r="AG3" s="367" t="s">
        <v>13</v>
      </c>
      <c r="AH3" s="367" t="s">
        <v>233</v>
      </c>
      <c r="AI3" s="367" t="s">
        <v>241</v>
      </c>
      <c r="AJ3">
        <v>1</v>
      </c>
      <c r="AK3" s="367" t="s">
        <v>395</v>
      </c>
    </row>
    <row r="4" spans="1:49" x14ac:dyDescent="0.25">
      <c r="B4" s="367" t="s">
        <v>233</v>
      </c>
      <c r="D4" s="369" t="s">
        <v>37</v>
      </c>
      <c r="E4" s="370" t="s">
        <v>16</v>
      </c>
      <c r="F4">
        <v>1000</v>
      </c>
      <c r="G4" s="367" t="s">
        <v>171</v>
      </c>
      <c r="H4" s="367" t="s">
        <v>440</v>
      </c>
      <c r="I4" s="367" t="s">
        <v>233</v>
      </c>
      <c r="K4" s="9"/>
      <c r="N4" s="367" t="s">
        <v>18</v>
      </c>
      <c r="O4" s="367" t="s">
        <v>22</v>
      </c>
      <c r="P4" s="367" t="s">
        <v>173</v>
      </c>
      <c r="Q4" s="367" t="s">
        <v>320</v>
      </c>
      <c r="R4" s="367" t="s">
        <v>211</v>
      </c>
      <c r="S4" s="367" t="s">
        <v>210</v>
      </c>
      <c r="T4" s="367" t="s">
        <v>209</v>
      </c>
      <c r="V4" s="367" t="s">
        <v>94</v>
      </c>
      <c r="Y4">
        <v>1</v>
      </c>
      <c r="AE4">
        <v>0</v>
      </c>
      <c r="AF4" s="367" t="s">
        <v>36</v>
      </c>
      <c r="AH4" s="367" t="s">
        <v>13</v>
      </c>
      <c r="AI4" s="367" t="s">
        <v>238</v>
      </c>
      <c r="AJ4">
        <v>2</v>
      </c>
      <c r="AK4" s="367" t="s">
        <v>13</v>
      </c>
    </row>
    <row r="5" spans="1:49" x14ac:dyDescent="0.25">
      <c r="D5" s="369" t="s">
        <v>243</v>
      </c>
      <c r="E5" s="370" t="s">
        <v>457</v>
      </c>
      <c r="H5" s="367" t="s">
        <v>180</v>
      </c>
      <c r="I5" s="367" t="s">
        <v>233</v>
      </c>
      <c r="K5" s="9"/>
      <c r="N5" s="367" t="s">
        <v>27</v>
      </c>
      <c r="O5" s="367" t="s">
        <v>23</v>
      </c>
      <c r="P5" s="367" t="s">
        <v>174</v>
      </c>
      <c r="R5" s="367" t="s">
        <v>212</v>
      </c>
      <c r="Y5">
        <v>2</v>
      </c>
      <c r="AE5">
        <v>1</v>
      </c>
      <c r="AI5" s="367" t="s">
        <v>239</v>
      </c>
      <c r="AJ5" s="367" t="s">
        <v>460</v>
      </c>
    </row>
    <row r="6" spans="1:49" x14ac:dyDescent="0.25">
      <c r="D6" s="369" t="s">
        <v>242</v>
      </c>
      <c r="E6" s="370" t="s">
        <v>457</v>
      </c>
      <c r="F6">
        <v>20</v>
      </c>
      <c r="G6" s="367" t="s">
        <v>443</v>
      </c>
      <c r="I6" s="367" t="s">
        <v>233</v>
      </c>
      <c r="K6" s="9"/>
      <c r="N6" s="367" t="s">
        <v>28</v>
      </c>
      <c r="O6" s="367" t="s">
        <v>24</v>
      </c>
      <c r="P6" s="367" t="s">
        <v>175</v>
      </c>
      <c r="R6" s="367" t="s">
        <v>213</v>
      </c>
      <c r="Y6">
        <v>3</v>
      </c>
      <c r="AE6">
        <v>2</v>
      </c>
    </row>
    <row r="7" spans="1:49" x14ac:dyDescent="0.25">
      <c r="D7" s="369" t="s">
        <v>38</v>
      </c>
      <c r="E7" s="370" t="s">
        <v>3</v>
      </c>
      <c r="H7" s="367" t="s">
        <v>440</v>
      </c>
      <c r="I7" s="367" t="s">
        <v>233</v>
      </c>
      <c r="K7" s="9"/>
      <c r="N7" s="367" t="s">
        <v>29</v>
      </c>
      <c r="O7" s="367" t="s">
        <v>25</v>
      </c>
      <c r="P7" s="367" t="s">
        <v>177</v>
      </c>
      <c r="Y7">
        <v>4</v>
      </c>
      <c r="AE7">
        <v>3</v>
      </c>
    </row>
    <row r="8" spans="1:49" x14ac:dyDescent="0.25">
      <c r="D8" s="372" t="s">
        <v>39</v>
      </c>
      <c r="E8" s="370" t="s">
        <v>3</v>
      </c>
      <c r="H8" s="367" t="s">
        <v>440</v>
      </c>
      <c r="I8" s="367" t="s">
        <v>233</v>
      </c>
      <c r="K8" s="9"/>
      <c r="N8" s="367" t="s">
        <v>30</v>
      </c>
      <c r="O8" s="367" t="s">
        <v>19</v>
      </c>
      <c r="P8" s="367" t="s">
        <v>178</v>
      </c>
      <c r="Y8">
        <v>5</v>
      </c>
      <c r="AE8">
        <v>4</v>
      </c>
    </row>
    <row r="9" spans="1:49" x14ac:dyDescent="0.25">
      <c r="D9" s="372" t="s">
        <v>40</v>
      </c>
      <c r="E9" s="370" t="s">
        <v>3</v>
      </c>
      <c r="H9" s="367" t="s">
        <v>440</v>
      </c>
      <c r="I9" s="367" t="s">
        <v>233</v>
      </c>
      <c r="K9" s="9"/>
      <c r="N9" s="367" t="s">
        <v>95</v>
      </c>
      <c r="O9" s="367" t="s">
        <v>20</v>
      </c>
      <c r="P9" s="367" t="s">
        <v>176</v>
      </c>
      <c r="Y9">
        <v>6</v>
      </c>
      <c r="AE9">
        <v>5</v>
      </c>
    </row>
    <row r="10" spans="1:49" x14ac:dyDescent="0.25">
      <c r="D10" s="372" t="s">
        <v>41</v>
      </c>
      <c r="E10" s="370" t="s">
        <v>457</v>
      </c>
      <c r="I10" s="367" t="s">
        <v>233</v>
      </c>
      <c r="K10" s="9"/>
      <c r="N10" s="367" t="s">
        <v>101</v>
      </c>
      <c r="O10" s="367" t="s">
        <v>21</v>
      </c>
      <c r="AE10" s="367" t="s">
        <v>179</v>
      </c>
    </row>
    <row r="11" spans="1:49" ht="15.75" thickBot="1" x14ac:dyDescent="0.3">
      <c r="D11" s="373" t="s">
        <v>42</v>
      </c>
      <c r="E11" s="374" t="s">
        <v>457</v>
      </c>
      <c r="I11" s="367" t="s">
        <v>233</v>
      </c>
      <c r="K11" s="9"/>
      <c r="N11" s="367" t="s">
        <v>102</v>
      </c>
      <c r="O11" s="367" t="s">
        <v>26</v>
      </c>
    </row>
    <row r="12" spans="1:49" x14ac:dyDescent="0.25">
      <c r="D12" s="375" t="s">
        <v>5</v>
      </c>
      <c r="E12" s="376" t="s">
        <v>3</v>
      </c>
      <c r="H12" s="367" t="s">
        <v>180</v>
      </c>
      <c r="I12" s="367" t="s">
        <v>233</v>
      </c>
      <c r="K12" s="9"/>
      <c r="N12" s="367" t="s">
        <v>111</v>
      </c>
      <c r="O12" s="367" t="s">
        <v>31</v>
      </c>
    </row>
    <row r="13" spans="1:49" x14ac:dyDescent="0.25">
      <c r="D13" s="369" t="s">
        <v>170</v>
      </c>
      <c r="E13" s="370" t="s">
        <v>457</v>
      </c>
      <c r="H13" s="367" t="s">
        <v>180</v>
      </c>
      <c r="I13" s="367" t="s">
        <v>233</v>
      </c>
      <c r="K13" s="9"/>
      <c r="N13" s="367" t="s">
        <v>110</v>
      </c>
      <c r="O13" s="367" t="s">
        <v>32</v>
      </c>
    </row>
    <row r="14" spans="1:49" x14ac:dyDescent="0.25">
      <c r="D14" s="369" t="s">
        <v>6</v>
      </c>
      <c r="E14" s="370" t="s">
        <v>3</v>
      </c>
      <c r="F14">
        <v>20</v>
      </c>
      <c r="G14" s="367" t="s">
        <v>446</v>
      </c>
      <c r="H14" s="367" t="s">
        <v>191</v>
      </c>
      <c r="I14" s="367" t="s">
        <v>233</v>
      </c>
      <c r="K14" s="9"/>
      <c r="N14" s="367" t="s">
        <v>115</v>
      </c>
      <c r="O14" s="367" t="s">
        <v>33</v>
      </c>
    </row>
    <row r="15" spans="1:49" ht="15.75" thickBot="1" x14ac:dyDescent="0.3">
      <c r="D15" s="373" t="s">
        <v>7</v>
      </c>
      <c r="E15" s="374" t="s">
        <v>16</v>
      </c>
      <c r="F15" s="12">
        <v>500000</v>
      </c>
      <c r="G15" s="367" t="s">
        <v>171</v>
      </c>
      <c r="H15" s="367" t="s">
        <v>180</v>
      </c>
      <c r="I15" s="367" t="s">
        <v>233</v>
      </c>
      <c r="K15" s="9"/>
      <c r="N15" s="367" t="s">
        <v>131</v>
      </c>
      <c r="O15" s="367" t="s">
        <v>96</v>
      </c>
    </row>
    <row r="16" spans="1:49" x14ac:dyDescent="0.25">
      <c r="D16" s="375" t="s">
        <v>43</v>
      </c>
      <c r="E16" s="376" t="s">
        <v>3</v>
      </c>
      <c r="H16" s="367" t="s">
        <v>190</v>
      </c>
      <c r="I16" s="367" t="s">
        <v>233</v>
      </c>
      <c r="K16" s="9"/>
      <c r="N16" s="367" t="s">
        <v>132</v>
      </c>
      <c r="O16" s="367" t="s">
        <v>97</v>
      </c>
    </row>
    <row r="17" spans="4:15" x14ac:dyDescent="0.25">
      <c r="D17" s="377" t="s">
        <v>218</v>
      </c>
      <c r="E17" s="370" t="s">
        <v>4</v>
      </c>
      <c r="F17">
        <v>4</v>
      </c>
      <c r="G17" s="367" t="s">
        <v>444</v>
      </c>
      <c r="H17" s="367" t="s">
        <v>190</v>
      </c>
      <c r="I17" s="367" t="s">
        <v>233</v>
      </c>
      <c r="K17" s="9"/>
      <c r="N17" s="367" t="s">
        <v>138</v>
      </c>
      <c r="O17" s="367" t="s">
        <v>98</v>
      </c>
    </row>
    <row r="18" spans="4:15" x14ac:dyDescent="0.25">
      <c r="D18" s="369" t="s">
        <v>219</v>
      </c>
      <c r="E18" s="370" t="s">
        <v>4</v>
      </c>
      <c r="F18">
        <v>20</v>
      </c>
      <c r="G18" s="367" t="s">
        <v>444</v>
      </c>
      <c r="H18" s="367" t="s">
        <v>190</v>
      </c>
      <c r="I18" s="367" t="s">
        <v>233</v>
      </c>
      <c r="K18" s="9"/>
      <c r="N18" s="367" t="s">
        <v>139</v>
      </c>
      <c r="O18" s="367" t="s">
        <v>99</v>
      </c>
    </row>
    <row r="19" spans="4:15" ht="15.75" thickBot="1" x14ac:dyDescent="0.3">
      <c r="D19" s="373" t="s">
        <v>44</v>
      </c>
      <c r="E19" s="374" t="s">
        <v>16</v>
      </c>
      <c r="H19" s="367" t="s">
        <v>190</v>
      </c>
      <c r="I19" s="367" t="s">
        <v>233</v>
      </c>
      <c r="K19" s="9"/>
      <c r="N19" s="367" t="s">
        <v>140</v>
      </c>
      <c r="O19" s="367" t="s">
        <v>100</v>
      </c>
    </row>
    <row r="20" spans="4:15" ht="15.75" thickBot="1" x14ac:dyDescent="0.3">
      <c r="D20" s="378" t="s">
        <v>8</v>
      </c>
      <c r="E20" s="379" t="s">
        <v>16</v>
      </c>
      <c r="F20">
        <v>30</v>
      </c>
      <c r="G20" s="367" t="s">
        <v>222</v>
      </c>
      <c r="H20" s="367" t="s">
        <v>192</v>
      </c>
      <c r="I20" s="367" t="s">
        <v>233</v>
      </c>
      <c r="K20" s="9"/>
      <c r="N20" s="367" t="s">
        <v>145</v>
      </c>
      <c r="O20" s="367" t="s">
        <v>103</v>
      </c>
    </row>
    <row r="21" spans="4:15" ht="30" x14ac:dyDescent="0.25">
      <c r="D21" s="380" t="s">
        <v>223</v>
      </c>
      <c r="E21" s="376" t="s">
        <v>3</v>
      </c>
      <c r="F21">
        <v>500</v>
      </c>
      <c r="G21" s="367" t="s">
        <v>444</v>
      </c>
      <c r="H21" s="367" t="s">
        <v>445</v>
      </c>
      <c r="I21" s="367" t="s">
        <v>233</v>
      </c>
      <c r="K21" s="9"/>
      <c r="N21" s="367" t="s">
        <v>146</v>
      </c>
      <c r="O21" s="367" t="s">
        <v>104</v>
      </c>
    </row>
    <row r="22" spans="4:15" ht="30" x14ac:dyDescent="0.25">
      <c r="D22" s="369" t="s">
        <v>224</v>
      </c>
      <c r="E22" s="370" t="s">
        <v>3</v>
      </c>
      <c r="F22">
        <v>50</v>
      </c>
      <c r="G22" s="367" t="s">
        <v>444</v>
      </c>
      <c r="H22" s="367" t="s">
        <v>445</v>
      </c>
      <c r="I22" s="367" t="s">
        <v>233</v>
      </c>
      <c r="K22" s="9"/>
      <c r="N22" s="367" t="s">
        <v>154</v>
      </c>
      <c r="O22" s="367" t="s">
        <v>105</v>
      </c>
    </row>
    <row r="23" spans="4:15" ht="15.75" thickBot="1" x14ac:dyDescent="0.3">
      <c r="D23" s="381" t="s">
        <v>45</v>
      </c>
      <c r="E23" s="374" t="s">
        <v>3</v>
      </c>
      <c r="F23">
        <v>500</v>
      </c>
      <c r="G23" s="367" t="s">
        <v>444</v>
      </c>
      <c r="H23" s="367" t="s">
        <v>445</v>
      </c>
      <c r="I23" s="367" t="s">
        <v>233</v>
      </c>
      <c r="K23" s="9"/>
      <c r="N23" s="367" t="s">
        <v>162</v>
      </c>
      <c r="O23" s="367" t="s">
        <v>106</v>
      </c>
    </row>
    <row r="24" spans="4:15" x14ac:dyDescent="0.25">
      <c r="D24" s="375" t="s">
        <v>46</v>
      </c>
      <c r="E24" s="376" t="s">
        <v>16</v>
      </c>
      <c r="I24" s="367" t="s">
        <v>233</v>
      </c>
      <c r="K24" s="9"/>
      <c r="O24" s="367" t="s">
        <v>107</v>
      </c>
    </row>
    <row r="25" spans="4:15" ht="15.75" thickBot="1" x14ac:dyDescent="0.3">
      <c r="D25" s="373" t="s">
        <v>47</v>
      </c>
      <c r="E25" s="374" t="s">
        <v>16</v>
      </c>
      <c r="I25" s="367" t="s">
        <v>233</v>
      </c>
      <c r="K25" s="9"/>
      <c r="O25" s="367" t="s">
        <v>108</v>
      </c>
    </row>
    <row r="26" spans="4:15" ht="15.75" thickBot="1" x14ac:dyDescent="0.3">
      <c r="D26" s="378" t="s">
        <v>48</v>
      </c>
      <c r="E26" s="379" t="s">
        <v>16</v>
      </c>
      <c r="F26">
        <v>20</v>
      </c>
      <c r="G26" s="367" t="s">
        <v>444</v>
      </c>
      <c r="H26" s="367" t="s">
        <v>447</v>
      </c>
      <c r="I26" s="367" t="s">
        <v>233</v>
      </c>
      <c r="K26" s="9"/>
      <c r="O26" s="367" t="s">
        <v>109</v>
      </c>
    </row>
    <row r="27" spans="4:15" ht="15.75" thickBot="1" x14ac:dyDescent="0.3">
      <c r="D27" s="378" t="s">
        <v>49</v>
      </c>
      <c r="E27" s="379" t="s">
        <v>16</v>
      </c>
      <c r="F27">
        <v>20</v>
      </c>
      <c r="G27" s="367" t="s">
        <v>444</v>
      </c>
      <c r="H27" s="367" t="s">
        <v>447</v>
      </c>
      <c r="I27" s="367" t="s">
        <v>233</v>
      </c>
      <c r="K27" s="9"/>
      <c r="O27" s="367" t="s">
        <v>112</v>
      </c>
    </row>
    <row r="28" spans="4:15" ht="15.75" thickBot="1" x14ac:dyDescent="0.3">
      <c r="D28" s="378" t="s">
        <v>50</v>
      </c>
      <c r="E28" s="379" t="s">
        <v>16</v>
      </c>
      <c r="F28">
        <v>75</v>
      </c>
      <c r="G28" s="367" t="s">
        <v>444</v>
      </c>
      <c r="H28" s="367" t="s">
        <v>194</v>
      </c>
      <c r="I28" s="367" t="s">
        <v>233</v>
      </c>
      <c r="K28" s="9"/>
      <c r="O28" s="367" t="s">
        <v>113</v>
      </c>
    </row>
    <row r="29" spans="4:15" x14ac:dyDescent="0.25">
      <c r="D29" s="375" t="s">
        <v>244</v>
      </c>
      <c r="E29" s="376" t="s">
        <v>4</v>
      </c>
      <c r="H29" s="367" t="s">
        <v>193</v>
      </c>
      <c r="I29" s="367" t="s">
        <v>233</v>
      </c>
      <c r="K29" s="9"/>
      <c r="O29" s="367" t="s">
        <v>114</v>
      </c>
    </row>
    <row r="30" spans="4:15" x14ac:dyDescent="0.25">
      <c r="D30" s="369" t="s">
        <v>245</v>
      </c>
      <c r="E30" s="370" t="s">
        <v>4</v>
      </c>
      <c r="H30" s="367" t="s">
        <v>193</v>
      </c>
      <c r="I30" s="367" t="s">
        <v>233</v>
      </c>
      <c r="K30" s="9"/>
      <c r="O30" s="367" t="s">
        <v>116</v>
      </c>
    </row>
    <row r="31" spans="4:15" x14ac:dyDescent="0.25">
      <c r="D31" s="369" t="s">
        <v>246</v>
      </c>
      <c r="E31" s="370" t="s">
        <v>4</v>
      </c>
      <c r="H31" s="367" t="s">
        <v>193</v>
      </c>
      <c r="I31" s="367" t="s">
        <v>233</v>
      </c>
      <c r="K31" s="9"/>
      <c r="O31" s="367" t="s">
        <v>117</v>
      </c>
    </row>
    <row r="32" spans="4:15" x14ac:dyDescent="0.25">
      <c r="D32" s="369" t="s">
        <v>247</v>
      </c>
      <c r="E32" s="370" t="s">
        <v>3</v>
      </c>
      <c r="H32" s="367" t="s">
        <v>193</v>
      </c>
      <c r="I32" s="367" t="s">
        <v>233</v>
      </c>
      <c r="K32" s="9"/>
      <c r="O32" s="367" t="s">
        <v>118</v>
      </c>
    </row>
    <row r="33" spans="4:15" x14ac:dyDescent="0.25">
      <c r="D33" s="369" t="s">
        <v>248</v>
      </c>
      <c r="E33" s="370" t="s">
        <v>4</v>
      </c>
      <c r="H33" s="367" t="s">
        <v>193</v>
      </c>
      <c r="I33" s="367" t="s">
        <v>233</v>
      </c>
      <c r="K33" s="9"/>
      <c r="O33" s="367" t="s">
        <v>119</v>
      </c>
    </row>
    <row r="34" spans="4:15" x14ac:dyDescent="0.25">
      <c r="D34" s="369" t="s">
        <v>249</v>
      </c>
      <c r="E34" s="370" t="s">
        <v>3</v>
      </c>
      <c r="H34" s="367" t="s">
        <v>193</v>
      </c>
      <c r="I34" s="367" t="s">
        <v>233</v>
      </c>
      <c r="K34" s="9"/>
      <c r="O34" s="367" t="s">
        <v>120</v>
      </c>
    </row>
    <row r="35" spans="4:15" x14ac:dyDescent="0.25">
      <c r="D35" s="369" t="s">
        <v>250</v>
      </c>
      <c r="E35" s="370" t="s">
        <v>4</v>
      </c>
      <c r="H35" s="367" t="s">
        <v>193</v>
      </c>
      <c r="I35" s="367" t="s">
        <v>233</v>
      </c>
      <c r="K35" s="9"/>
      <c r="O35" s="367" t="s">
        <v>121</v>
      </c>
    </row>
    <row r="36" spans="4:15" x14ac:dyDescent="0.25">
      <c r="D36" s="369" t="s">
        <v>251</v>
      </c>
      <c r="E36" s="370" t="s">
        <v>3</v>
      </c>
      <c r="H36" s="367" t="s">
        <v>448</v>
      </c>
      <c r="I36" s="367" t="s">
        <v>233</v>
      </c>
      <c r="K36" s="9"/>
      <c r="O36" s="367" t="s">
        <v>122</v>
      </c>
    </row>
    <row r="37" spans="4:15" x14ac:dyDescent="0.25">
      <c r="D37" s="369" t="s">
        <v>252</v>
      </c>
      <c r="E37" s="370" t="s">
        <v>4</v>
      </c>
      <c r="H37" s="367" t="s">
        <v>448</v>
      </c>
      <c r="I37" s="367" t="s">
        <v>233</v>
      </c>
      <c r="K37" s="9"/>
      <c r="O37" s="367" t="s">
        <v>123</v>
      </c>
    </row>
    <row r="38" spans="4:15" x14ac:dyDescent="0.25">
      <c r="D38" s="369" t="s">
        <v>253</v>
      </c>
      <c r="E38" s="370" t="s">
        <v>3</v>
      </c>
      <c r="H38" s="367" t="s">
        <v>448</v>
      </c>
      <c r="I38" s="367" t="s">
        <v>233</v>
      </c>
      <c r="K38" s="9"/>
      <c r="O38" s="367" t="s">
        <v>124</v>
      </c>
    </row>
    <row r="39" spans="4:15" ht="15.75" thickBot="1" x14ac:dyDescent="0.3">
      <c r="D39" s="381" t="s">
        <v>254</v>
      </c>
      <c r="E39" s="374" t="s">
        <v>3</v>
      </c>
      <c r="H39" s="367" t="s">
        <v>193</v>
      </c>
      <c r="I39" s="367" t="s">
        <v>233</v>
      </c>
      <c r="K39" s="9"/>
      <c r="O39" s="367" t="s">
        <v>125</v>
      </c>
    </row>
    <row r="40" spans="4:15" x14ac:dyDescent="0.25">
      <c r="D40" s="375" t="s">
        <v>51</v>
      </c>
      <c r="E40" s="376" t="s">
        <v>3</v>
      </c>
      <c r="H40" s="367" t="s">
        <v>199</v>
      </c>
      <c r="I40" s="367" t="s">
        <v>233</v>
      </c>
      <c r="K40" s="9"/>
      <c r="O40" s="367" t="s">
        <v>126</v>
      </c>
    </row>
    <row r="41" spans="4:15" x14ac:dyDescent="0.25">
      <c r="D41" s="369" t="s">
        <v>52</v>
      </c>
      <c r="E41" s="370" t="s">
        <v>3</v>
      </c>
      <c r="H41" s="367" t="s">
        <v>199</v>
      </c>
      <c r="I41" s="367" t="s">
        <v>233</v>
      </c>
      <c r="K41" s="9"/>
      <c r="O41" s="367" t="s">
        <v>127</v>
      </c>
    </row>
    <row r="42" spans="4:15" x14ac:dyDescent="0.25">
      <c r="D42" s="369" t="s">
        <v>53</v>
      </c>
      <c r="E42" s="370" t="s">
        <v>3</v>
      </c>
      <c r="H42" s="367" t="s">
        <v>199</v>
      </c>
      <c r="I42" s="367" t="s">
        <v>233</v>
      </c>
      <c r="K42" s="9"/>
      <c r="O42" s="367" t="s">
        <v>128</v>
      </c>
    </row>
    <row r="43" spans="4:15" x14ac:dyDescent="0.25">
      <c r="D43" s="369" t="s">
        <v>54</v>
      </c>
      <c r="E43" s="370" t="s">
        <v>3</v>
      </c>
      <c r="H43" s="367" t="s">
        <v>199</v>
      </c>
      <c r="I43" s="367" t="s">
        <v>233</v>
      </c>
      <c r="K43" s="9"/>
      <c r="O43" s="367" t="s">
        <v>129</v>
      </c>
    </row>
    <row r="44" spans="4:15" x14ac:dyDescent="0.25">
      <c r="D44" s="369" t="s">
        <v>55</v>
      </c>
      <c r="E44" s="370" t="s">
        <v>3</v>
      </c>
      <c r="H44" s="367" t="s">
        <v>199</v>
      </c>
      <c r="I44" s="367" t="s">
        <v>233</v>
      </c>
      <c r="K44" s="9"/>
      <c r="O44" s="367" t="s">
        <v>130</v>
      </c>
    </row>
    <row r="45" spans="4:15" x14ac:dyDescent="0.25">
      <c r="D45" s="372" t="s">
        <v>56</v>
      </c>
      <c r="E45" s="370" t="s">
        <v>3</v>
      </c>
      <c r="H45" s="367" t="s">
        <v>199</v>
      </c>
      <c r="I45" s="367" t="s">
        <v>233</v>
      </c>
      <c r="K45" s="9"/>
      <c r="O45" s="367" t="s">
        <v>133</v>
      </c>
    </row>
    <row r="46" spans="4:15" x14ac:dyDescent="0.25">
      <c r="D46" s="372" t="s">
        <v>57</v>
      </c>
      <c r="E46" s="370" t="s">
        <v>16</v>
      </c>
      <c r="H46" s="367" t="s">
        <v>199</v>
      </c>
      <c r="I46" s="367" t="s">
        <v>233</v>
      </c>
      <c r="K46" s="9"/>
      <c r="O46" s="367" t="s">
        <v>134</v>
      </c>
    </row>
    <row r="47" spans="4:15" x14ac:dyDescent="0.25">
      <c r="D47" s="372" t="s">
        <v>58</v>
      </c>
      <c r="E47" s="370" t="s">
        <v>16</v>
      </c>
      <c r="H47" s="367" t="s">
        <v>199</v>
      </c>
      <c r="I47" s="367" t="s">
        <v>233</v>
      </c>
      <c r="K47" s="9"/>
      <c r="O47" s="367" t="s">
        <v>135</v>
      </c>
    </row>
    <row r="48" spans="4:15" x14ac:dyDescent="0.25">
      <c r="D48" s="372" t="s">
        <v>59</v>
      </c>
      <c r="E48" s="370" t="s">
        <v>16</v>
      </c>
      <c r="H48" s="367" t="s">
        <v>199</v>
      </c>
      <c r="I48" s="367" t="s">
        <v>233</v>
      </c>
      <c r="K48" s="9"/>
      <c r="O48" s="367" t="s">
        <v>136</v>
      </c>
    </row>
    <row r="49" spans="4:15" x14ac:dyDescent="0.25">
      <c r="D49" s="372" t="s">
        <v>60</v>
      </c>
      <c r="E49" s="370" t="s">
        <v>16</v>
      </c>
      <c r="H49" s="367" t="s">
        <v>199</v>
      </c>
      <c r="I49" s="367" t="s">
        <v>233</v>
      </c>
      <c r="K49" s="9"/>
      <c r="O49" s="367" t="s">
        <v>137</v>
      </c>
    </row>
    <row r="50" spans="4:15" ht="15.75" thickBot="1" x14ac:dyDescent="0.3">
      <c r="D50" s="373" t="s">
        <v>61</v>
      </c>
      <c r="E50" s="374" t="s">
        <v>16</v>
      </c>
      <c r="H50" s="367" t="s">
        <v>199</v>
      </c>
      <c r="I50" s="367" t="s">
        <v>233</v>
      </c>
      <c r="K50" s="9"/>
      <c r="O50" s="367" t="s">
        <v>141</v>
      </c>
    </row>
    <row r="51" spans="4:15" x14ac:dyDescent="0.25">
      <c r="D51" s="375" t="s">
        <v>225</v>
      </c>
      <c r="E51" s="382" t="s">
        <v>3</v>
      </c>
      <c r="H51" s="367" t="s">
        <v>196</v>
      </c>
      <c r="I51" s="367" t="s">
        <v>233</v>
      </c>
      <c r="K51" s="9"/>
      <c r="O51" s="367" t="s">
        <v>142</v>
      </c>
    </row>
    <row r="52" spans="4:15" x14ac:dyDescent="0.25">
      <c r="D52" s="369" t="s">
        <v>255</v>
      </c>
      <c r="E52" s="383" t="s">
        <v>3</v>
      </c>
      <c r="H52" s="367" t="s">
        <v>449</v>
      </c>
      <c r="I52" s="367" t="s">
        <v>233</v>
      </c>
      <c r="K52" s="9"/>
      <c r="O52" s="367" t="s">
        <v>143</v>
      </c>
    </row>
    <row r="53" spans="4:15" x14ac:dyDescent="0.25">
      <c r="D53" s="369" t="s">
        <v>256</v>
      </c>
      <c r="E53" s="370" t="s">
        <v>3</v>
      </c>
      <c r="H53" s="367" t="s">
        <v>449</v>
      </c>
      <c r="I53" s="367" t="s">
        <v>233</v>
      </c>
      <c r="K53" s="9"/>
      <c r="O53" s="367" t="s">
        <v>144</v>
      </c>
    </row>
    <row r="54" spans="4:15" ht="15.75" thickBot="1" x14ac:dyDescent="0.3">
      <c r="D54" s="381" t="s">
        <v>257</v>
      </c>
      <c r="E54" s="374" t="s">
        <v>3</v>
      </c>
      <c r="I54" s="367" t="s">
        <v>233</v>
      </c>
      <c r="K54" s="9"/>
      <c r="O54" s="367" t="s">
        <v>147</v>
      </c>
    </row>
    <row r="55" spans="4:15" ht="15.75" thickBot="1" x14ac:dyDescent="0.3">
      <c r="D55" s="384" t="s">
        <v>62</v>
      </c>
      <c r="E55" s="379" t="s">
        <v>16</v>
      </c>
      <c r="I55" s="367" t="s">
        <v>233</v>
      </c>
      <c r="K55" s="9"/>
      <c r="O55" s="367" t="s">
        <v>148</v>
      </c>
    </row>
    <row r="56" spans="4:15" x14ac:dyDescent="0.25">
      <c r="D56" s="375" t="s">
        <v>258</v>
      </c>
      <c r="E56" s="376" t="s">
        <v>457</v>
      </c>
      <c r="F56">
        <v>10</v>
      </c>
      <c r="G56" s="367" t="s">
        <v>444</v>
      </c>
      <c r="H56" s="367" t="s">
        <v>195</v>
      </c>
      <c r="I56" s="367" t="s">
        <v>233</v>
      </c>
      <c r="K56" s="9"/>
      <c r="O56" s="367" t="s">
        <v>149</v>
      </c>
    </row>
    <row r="57" spans="4:15" x14ac:dyDescent="0.25">
      <c r="D57" s="369" t="s">
        <v>63</v>
      </c>
      <c r="E57" s="370" t="s">
        <v>457</v>
      </c>
      <c r="F57">
        <v>3</v>
      </c>
      <c r="G57" s="367" t="s">
        <v>446</v>
      </c>
      <c r="H57" s="367" t="s">
        <v>195</v>
      </c>
      <c r="I57" s="367" t="s">
        <v>233</v>
      </c>
      <c r="K57" s="9"/>
      <c r="O57" s="367" t="s">
        <v>151</v>
      </c>
    </row>
    <row r="58" spans="4:15" ht="15.75" thickBot="1" x14ac:dyDescent="0.3">
      <c r="D58" s="373" t="s">
        <v>64</v>
      </c>
      <c r="E58" s="374" t="s">
        <v>3</v>
      </c>
      <c r="H58" s="367" t="s">
        <v>195</v>
      </c>
      <c r="I58" s="367" t="s">
        <v>233</v>
      </c>
      <c r="K58" s="9"/>
      <c r="O58" s="367" t="s">
        <v>152</v>
      </c>
    </row>
    <row r="59" spans="4:15" x14ac:dyDescent="0.25">
      <c r="D59" s="375" t="s">
        <v>259</v>
      </c>
      <c r="E59" s="376" t="s">
        <v>3</v>
      </c>
      <c r="F59">
        <v>10</v>
      </c>
      <c r="G59" s="367" t="s">
        <v>444</v>
      </c>
      <c r="H59" s="367" t="s">
        <v>188</v>
      </c>
      <c r="I59" s="385" t="s">
        <v>36</v>
      </c>
      <c r="J59" s="10"/>
      <c r="K59" s="15"/>
      <c r="O59" s="367" t="s">
        <v>153</v>
      </c>
    </row>
    <row r="60" spans="4:15" x14ac:dyDescent="0.25">
      <c r="D60" s="369" t="s">
        <v>9</v>
      </c>
      <c r="E60" s="370" t="s">
        <v>4</v>
      </c>
      <c r="F60">
        <v>10</v>
      </c>
      <c r="G60" s="367" t="s">
        <v>444</v>
      </c>
      <c r="H60" s="367" t="s">
        <v>184</v>
      </c>
      <c r="I60" s="367" t="s">
        <v>36</v>
      </c>
      <c r="K60" s="9"/>
      <c r="O60" s="367" t="s">
        <v>150</v>
      </c>
    </row>
    <row r="61" spans="4:15" x14ac:dyDescent="0.25">
      <c r="D61" s="377" t="s">
        <v>226</v>
      </c>
      <c r="E61" s="370" t="s">
        <v>4</v>
      </c>
      <c r="F61">
        <v>100</v>
      </c>
      <c r="G61" s="367" t="s">
        <v>444</v>
      </c>
      <c r="H61" s="367" t="s">
        <v>184</v>
      </c>
      <c r="I61" s="367" t="s">
        <v>36</v>
      </c>
      <c r="K61" s="9"/>
      <c r="O61" s="367" t="s">
        <v>155</v>
      </c>
    </row>
    <row r="62" spans="4:15" x14ac:dyDescent="0.25">
      <c r="D62" s="369" t="s">
        <v>65</v>
      </c>
      <c r="E62" s="370" t="s">
        <v>4</v>
      </c>
      <c r="F62">
        <v>10</v>
      </c>
      <c r="G62" s="367" t="s">
        <v>444</v>
      </c>
      <c r="H62" s="367" t="s">
        <v>184</v>
      </c>
      <c r="I62" s="367" t="s">
        <v>36</v>
      </c>
      <c r="K62" s="9"/>
      <c r="O62" s="367" t="s">
        <v>156</v>
      </c>
    </row>
    <row r="63" spans="4:15" x14ac:dyDescent="0.25">
      <c r="D63" s="369" t="s">
        <v>66</v>
      </c>
      <c r="E63" s="370" t="s">
        <v>4</v>
      </c>
      <c r="F63">
        <v>10</v>
      </c>
      <c r="G63" s="367" t="s">
        <v>444</v>
      </c>
      <c r="H63" s="367" t="s">
        <v>184</v>
      </c>
      <c r="I63" s="367" t="s">
        <v>36</v>
      </c>
      <c r="K63" s="9"/>
      <c r="O63" s="367" t="s">
        <v>157</v>
      </c>
    </row>
    <row r="64" spans="4:15" x14ac:dyDescent="0.25">
      <c r="D64" s="369" t="s">
        <v>67</v>
      </c>
      <c r="E64" s="370" t="s">
        <v>4</v>
      </c>
      <c r="F64">
        <v>10</v>
      </c>
      <c r="G64" s="367" t="s">
        <v>444</v>
      </c>
      <c r="H64" s="367" t="s">
        <v>184</v>
      </c>
      <c r="I64" s="367" t="s">
        <v>36</v>
      </c>
      <c r="K64" s="9"/>
      <c r="O64" s="367" t="s">
        <v>160</v>
      </c>
    </row>
    <row r="65" spans="4:15" x14ac:dyDescent="0.25">
      <c r="D65" s="369" t="s">
        <v>68</v>
      </c>
      <c r="E65" s="370" t="s">
        <v>16</v>
      </c>
      <c r="F65">
        <v>10</v>
      </c>
      <c r="G65" s="367" t="s">
        <v>444</v>
      </c>
      <c r="H65" s="367" t="s">
        <v>184</v>
      </c>
      <c r="I65" s="367" t="s">
        <v>36</v>
      </c>
      <c r="K65" s="9"/>
      <c r="O65" s="367" t="s">
        <v>161</v>
      </c>
    </row>
    <row r="66" spans="4:15" x14ac:dyDescent="0.25">
      <c r="D66" s="369" t="s">
        <v>204</v>
      </c>
      <c r="E66" s="370" t="s">
        <v>16</v>
      </c>
      <c r="F66">
        <v>10</v>
      </c>
      <c r="G66" s="367" t="s">
        <v>444</v>
      </c>
      <c r="H66" s="367" t="s">
        <v>184</v>
      </c>
      <c r="I66" s="367" t="s">
        <v>36</v>
      </c>
      <c r="K66" s="9"/>
      <c r="O66" s="367" t="s">
        <v>158</v>
      </c>
    </row>
    <row r="67" spans="4:15" x14ac:dyDescent="0.25">
      <c r="D67" s="369" t="s">
        <v>203</v>
      </c>
      <c r="E67" s="370" t="s">
        <v>16</v>
      </c>
      <c r="F67">
        <v>10</v>
      </c>
      <c r="G67" s="367" t="s">
        <v>444</v>
      </c>
      <c r="H67" s="367" t="s">
        <v>184</v>
      </c>
      <c r="I67" s="367" t="s">
        <v>233</v>
      </c>
      <c r="K67" s="9"/>
      <c r="O67" s="367" t="s">
        <v>159</v>
      </c>
    </row>
    <row r="68" spans="4:15" ht="15.75" customHeight="1" x14ac:dyDescent="0.25">
      <c r="D68" s="369" t="s">
        <v>202</v>
      </c>
      <c r="E68" s="370" t="s">
        <v>16</v>
      </c>
      <c r="F68">
        <v>10</v>
      </c>
      <c r="G68" s="367" t="s">
        <v>444</v>
      </c>
      <c r="H68" s="367" t="s">
        <v>184</v>
      </c>
      <c r="I68" s="367" t="s">
        <v>36</v>
      </c>
      <c r="K68" s="9"/>
      <c r="O68" s="367" t="s">
        <v>163</v>
      </c>
    </row>
    <row r="69" spans="4:15" x14ac:dyDescent="0.25">
      <c r="D69" s="369" t="s">
        <v>201</v>
      </c>
      <c r="E69" s="370" t="s">
        <v>16</v>
      </c>
      <c r="F69">
        <v>10</v>
      </c>
      <c r="G69" s="367" t="s">
        <v>444</v>
      </c>
      <c r="H69" s="367" t="s">
        <v>184</v>
      </c>
      <c r="I69" s="367" t="s">
        <v>233</v>
      </c>
      <c r="K69" s="9"/>
      <c r="O69" s="367" t="s">
        <v>164</v>
      </c>
    </row>
    <row r="70" spans="4:15" x14ac:dyDescent="0.25">
      <c r="D70" s="369" t="s">
        <v>69</v>
      </c>
      <c r="E70" s="370" t="s">
        <v>16</v>
      </c>
      <c r="F70">
        <v>10</v>
      </c>
      <c r="G70" s="367" t="s">
        <v>444</v>
      </c>
      <c r="H70" s="367" t="s">
        <v>184</v>
      </c>
      <c r="I70" s="367" t="s">
        <v>36</v>
      </c>
      <c r="K70" s="9"/>
      <c r="O70" s="367" t="s">
        <v>165</v>
      </c>
    </row>
    <row r="71" spans="4:15" ht="30" x14ac:dyDescent="0.25">
      <c r="D71" s="369" t="s">
        <v>205</v>
      </c>
      <c r="E71" s="370" t="s">
        <v>16</v>
      </c>
      <c r="F71">
        <v>10</v>
      </c>
      <c r="G71" s="367" t="s">
        <v>444</v>
      </c>
      <c r="H71" s="367" t="s">
        <v>184</v>
      </c>
      <c r="I71" s="367" t="s">
        <v>36</v>
      </c>
      <c r="K71" s="9"/>
      <c r="O71" s="367" t="s">
        <v>166</v>
      </c>
    </row>
    <row r="72" spans="4:15" x14ac:dyDescent="0.25">
      <c r="D72" s="369" t="s">
        <v>206</v>
      </c>
      <c r="E72" s="370" t="s">
        <v>16</v>
      </c>
      <c r="F72">
        <v>10</v>
      </c>
      <c r="G72" s="367" t="s">
        <v>444</v>
      </c>
      <c r="H72" s="367" t="s">
        <v>184</v>
      </c>
      <c r="I72" s="367" t="s">
        <v>233</v>
      </c>
      <c r="K72" s="9"/>
      <c r="O72" s="367" t="s">
        <v>167</v>
      </c>
    </row>
    <row r="73" spans="4:15" x14ac:dyDescent="0.25">
      <c r="D73" s="369" t="s">
        <v>70</v>
      </c>
      <c r="E73" s="370" t="s">
        <v>16</v>
      </c>
      <c r="F73">
        <v>10</v>
      </c>
      <c r="G73" s="367" t="s">
        <v>444</v>
      </c>
      <c r="H73" s="367" t="s">
        <v>184</v>
      </c>
      <c r="I73" s="367" t="s">
        <v>36</v>
      </c>
      <c r="K73" s="9"/>
      <c r="O73" s="367" t="s">
        <v>168</v>
      </c>
    </row>
    <row r="74" spans="4:15" ht="30" x14ac:dyDescent="0.25">
      <c r="D74" s="369" t="s">
        <v>207</v>
      </c>
      <c r="E74" s="370" t="s">
        <v>3</v>
      </c>
      <c r="F74">
        <v>10</v>
      </c>
      <c r="G74" s="367" t="s">
        <v>444</v>
      </c>
      <c r="H74" s="367" t="s">
        <v>184</v>
      </c>
      <c r="I74" s="367" t="s">
        <v>36</v>
      </c>
      <c r="K74" s="9"/>
      <c r="O74" s="367" t="s">
        <v>169</v>
      </c>
    </row>
    <row r="75" spans="4:15" ht="15.75" thickBot="1" x14ac:dyDescent="0.3">
      <c r="D75" s="381" t="s">
        <v>208</v>
      </c>
      <c r="E75" s="374" t="s">
        <v>3</v>
      </c>
      <c r="F75">
        <v>10</v>
      </c>
      <c r="G75" s="367" t="s">
        <v>444</v>
      </c>
      <c r="H75" s="367" t="s">
        <v>184</v>
      </c>
      <c r="I75" s="367" t="s">
        <v>233</v>
      </c>
      <c r="K75" s="9"/>
    </row>
    <row r="76" spans="4:15" x14ac:dyDescent="0.25">
      <c r="D76" s="375" t="s">
        <v>72</v>
      </c>
      <c r="E76" s="376" t="s">
        <v>16</v>
      </c>
      <c r="F76">
        <v>50</v>
      </c>
      <c r="G76" s="367" t="s">
        <v>444</v>
      </c>
      <c r="H76" s="367" t="s">
        <v>184</v>
      </c>
      <c r="I76" s="385" t="s">
        <v>36</v>
      </c>
      <c r="J76" s="10"/>
      <c r="K76" s="15"/>
    </row>
    <row r="77" spans="4:15" x14ac:dyDescent="0.25">
      <c r="D77" s="377" t="s">
        <v>227</v>
      </c>
      <c r="E77" s="370" t="s">
        <v>16</v>
      </c>
      <c r="F77">
        <v>100</v>
      </c>
      <c r="G77" s="367" t="s">
        <v>444</v>
      </c>
      <c r="H77" s="367" t="s">
        <v>184</v>
      </c>
      <c r="I77" s="385" t="s">
        <v>233</v>
      </c>
      <c r="J77" s="10"/>
      <c r="K77" s="15"/>
    </row>
    <row r="78" spans="4:15" x14ac:dyDescent="0.25">
      <c r="D78" s="369" t="s">
        <v>73</v>
      </c>
      <c r="E78" s="370" t="s">
        <v>16</v>
      </c>
      <c r="F78">
        <v>50</v>
      </c>
      <c r="G78" s="367" t="s">
        <v>444</v>
      </c>
      <c r="H78" s="367" t="s">
        <v>184</v>
      </c>
      <c r="I78" s="385" t="s">
        <v>36</v>
      </c>
      <c r="J78" s="10"/>
      <c r="K78" s="15"/>
    </row>
    <row r="79" spans="4:15" x14ac:dyDescent="0.25">
      <c r="D79" s="369" t="s">
        <v>71</v>
      </c>
      <c r="E79" s="370" t="s">
        <v>16</v>
      </c>
      <c r="F79">
        <v>50</v>
      </c>
      <c r="G79" s="367" t="s">
        <v>444</v>
      </c>
      <c r="H79" s="367" t="s">
        <v>184</v>
      </c>
      <c r="I79" s="385" t="s">
        <v>36</v>
      </c>
      <c r="J79" s="10"/>
      <c r="K79" s="15"/>
    </row>
    <row r="80" spans="4:15" x14ac:dyDescent="0.25">
      <c r="D80" s="369" t="s">
        <v>74</v>
      </c>
      <c r="E80" s="370" t="s">
        <v>16</v>
      </c>
      <c r="F80">
        <v>50</v>
      </c>
      <c r="G80" s="367" t="s">
        <v>444</v>
      </c>
      <c r="H80" s="367" t="s">
        <v>184</v>
      </c>
      <c r="I80" s="385" t="s">
        <v>36</v>
      </c>
      <c r="J80" s="10"/>
      <c r="K80" s="15"/>
    </row>
    <row r="81" spans="4:11" x14ac:dyDescent="0.25">
      <c r="D81" s="369" t="s">
        <v>75</v>
      </c>
      <c r="E81" s="370" t="s">
        <v>16</v>
      </c>
      <c r="F81">
        <v>50</v>
      </c>
      <c r="G81" s="367" t="s">
        <v>444</v>
      </c>
      <c r="H81" s="367" t="s">
        <v>184</v>
      </c>
      <c r="I81" s="385" t="s">
        <v>36</v>
      </c>
      <c r="J81" s="10"/>
      <c r="K81" s="15"/>
    </row>
    <row r="82" spans="4:11" x14ac:dyDescent="0.25">
      <c r="D82" s="369" t="s">
        <v>76</v>
      </c>
      <c r="E82" s="370" t="s">
        <v>16</v>
      </c>
      <c r="F82">
        <v>75</v>
      </c>
      <c r="G82" s="367" t="s">
        <v>444</v>
      </c>
      <c r="H82" s="367" t="s">
        <v>184</v>
      </c>
      <c r="I82" s="385" t="s">
        <v>36</v>
      </c>
      <c r="J82" s="10"/>
      <c r="K82" s="15"/>
    </row>
    <row r="83" spans="4:11" x14ac:dyDescent="0.25">
      <c r="D83" s="377" t="s">
        <v>228</v>
      </c>
      <c r="E83" s="370" t="s">
        <v>16</v>
      </c>
      <c r="F83">
        <v>100</v>
      </c>
      <c r="G83" s="367" t="s">
        <v>444</v>
      </c>
      <c r="H83" s="367" t="s">
        <v>184</v>
      </c>
      <c r="I83" s="385" t="s">
        <v>233</v>
      </c>
      <c r="J83" s="10"/>
      <c r="K83" s="15"/>
    </row>
    <row r="84" spans="4:11" x14ac:dyDescent="0.25">
      <c r="D84" s="369" t="s">
        <v>77</v>
      </c>
      <c r="E84" s="370" t="s">
        <v>16</v>
      </c>
      <c r="F84">
        <v>75</v>
      </c>
      <c r="G84" s="367" t="s">
        <v>444</v>
      </c>
      <c r="H84" s="367" t="s">
        <v>184</v>
      </c>
      <c r="I84" s="385" t="s">
        <v>36</v>
      </c>
      <c r="J84" s="10"/>
      <c r="K84" s="15"/>
    </row>
    <row r="85" spans="4:11" x14ac:dyDescent="0.25">
      <c r="D85" s="369" t="s">
        <v>10</v>
      </c>
      <c r="E85" s="370" t="s">
        <v>16</v>
      </c>
      <c r="F85">
        <v>75</v>
      </c>
      <c r="G85" s="367" t="s">
        <v>444</v>
      </c>
      <c r="H85" s="367" t="s">
        <v>184</v>
      </c>
      <c r="I85" s="385" t="s">
        <v>36</v>
      </c>
      <c r="J85" s="10"/>
      <c r="K85" s="15"/>
    </row>
    <row r="86" spans="4:11" ht="15.75" thickBot="1" x14ac:dyDescent="0.3">
      <c r="D86" s="381" t="s">
        <v>78</v>
      </c>
      <c r="E86" s="374" t="s">
        <v>16</v>
      </c>
      <c r="F86">
        <v>75</v>
      </c>
      <c r="G86" s="367" t="s">
        <v>444</v>
      </c>
      <c r="H86" s="367" t="s">
        <v>184</v>
      </c>
      <c r="I86" s="385" t="s">
        <v>36</v>
      </c>
      <c r="J86" s="10"/>
      <c r="K86" s="15"/>
    </row>
    <row r="87" spans="4:11" ht="15.75" thickBot="1" x14ac:dyDescent="0.3">
      <c r="D87" s="378" t="s">
        <v>79</v>
      </c>
      <c r="E87" s="379" t="s">
        <v>4</v>
      </c>
      <c r="I87" s="385" t="s">
        <v>233</v>
      </c>
      <c r="J87" s="10"/>
      <c r="K87" s="15"/>
    </row>
    <row r="88" spans="4:11" x14ac:dyDescent="0.25">
      <c r="D88" s="375" t="s">
        <v>80</v>
      </c>
      <c r="E88" s="376" t="s">
        <v>4</v>
      </c>
      <c r="F88">
        <v>50</v>
      </c>
      <c r="G88" s="367" t="s">
        <v>450</v>
      </c>
      <c r="H88" s="367" t="s">
        <v>184</v>
      </c>
      <c r="I88" s="385" t="s">
        <v>36</v>
      </c>
      <c r="J88" s="10"/>
      <c r="K88" s="15"/>
    </row>
    <row r="89" spans="4:11" ht="15.75" thickBot="1" x14ac:dyDescent="0.3">
      <c r="D89" s="381" t="s">
        <v>82</v>
      </c>
      <c r="E89" s="374" t="s">
        <v>456</v>
      </c>
      <c r="F89">
        <v>50</v>
      </c>
      <c r="G89" s="367" t="s">
        <v>450</v>
      </c>
      <c r="H89" s="367" t="s">
        <v>184</v>
      </c>
      <c r="I89" s="385" t="s">
        <v>36</v>
      </c>
      <c r="J89" s="10"/>
      <c r="K89" s="15"/>
    </row>
    <row r="90" spans="4:11" ht="15.75" thickBot="1" x14ac:dyDescent="0.3">
      <c r="D90" s="378" t="s">
        <v>81</v>
      </c>
      <c r="E90" s="379" t="s">
        <v>16</v>
      </c>
      <c r="H90" s="367" t="s">
        <v>184</v>
      </c>
      <c r="I90" s="385" t="s">
        <v>233</v>
      </c>
      <c r="J90" s="10"/>
      <c r="K90" s="15"/>
    </row>
    <row r="91" spans="4:11" x14ac:dyDescent="0.25">
      <c r="D91" s="375" t="s">
        <v>260</v>
      </c>
      <c r="E91" s="376" t="s">
        <v>4</v>
      </c>
      <c r="H91" s="367" t="s">
        <v>451</v>
      </c>
      <c r="I91" s="367" t="s">
        <v>233</v>
      </c>
      <c r="J91" s="10"/>
      <c r="K91" s="15"/>
    </row>
    <row r="92" spans="4:11" ht="15.75" thickBot="1" x14ac:dyDescent="0.3">
      <c r="D92" s="381" t="s">
        <v>261</v>
      </c>
      <c r="E92" s="374" t="s">
        <v>16</v>
      </c>
      <c r="F92">
        <v>20</v>
      </c>
      <c r="G92" s="367" t="s">
        <v>444</v>
      </c>
      <c r="H92" s="367" t="s">
        <v>451</v>
      </c>
      <c r="I92" s="367" t="s">
        <v>233</v>
      </c>
      <c r="J92" s="10"/>
      <c r="K92" s="15"/>
    </row>
    <row r="93" spans="4:11" ht="15.75" thickBot="1" x14ac:dyDescent="0.3">
      <c r="D93" s="378" t="s">
        <v>83</v>
      </c>
      <c r="E93" s="379" t="s">
        <v>16</v>
      </c>
      <c r="H93" s="367" t="s">
        <v>190</v>
      </c>
      <c r="I93" s="367" t="s">
        <v>233</v>
      </c>
      <c r="J93" s="10"/>
      <c r="K93" s="15"/>
    </row>
    <row r="94" spans="4:11" x14ac:dyDescent="0.25">
      <c r="D94" s="386" t="s">
        <v>84</v>
      </c>
      <c r="E94" s="376" t="s">
        <v>16</v>
      </c>
      <c r="I94" s="367" t="s">
        <v>233</v>
      </c>
      <c r="J94" s="10"/>
      <c r="K94" s="15"/>
    </row>
    <row r="95" spans="4:11" ht="15.75" thickBot="1" x14ac:dyDescent="0.3">
      <c r="D95" s="373" t="s">
        <v>85</v>
      </c>
      <c r="E95" s="374" t="s">
        <v>16</v>
      </c>
      <c r="F95">
        <v>5</v>
      </c>
      <c r="G95" s="367" t="s">
        <v>171</v>
      </c>
      <c r="H95" s="367" t="s">
        <v>190</v>
      </c>
      <c r="I95" s="367" t="s">
        <v>233</v>
      </c>
      <c r="J95" s="10"/>
      <c r="K95" s="15"/>
    </row>
    <row r="96" spans="4:11" ht="15.75" thickBot="1" x14ac:dyDescent="0.3">
      <c r="D96" s="378" t="s">
        <v>86</v>
      </c>
      <c r="E96" s="379" t="s">
        <v>16</v>
      </c>
      <c r="F96">
        <v>10</v>
      </c>
      <c r="G96" s="367" t="s">
        <v>444</v>
      </c>
      <c r="H96" s="367" t="s">
        <v>217</v>
      </c>
      <c r="I96" s="367" t="s">
        <v>233</v>
      </c>
      <c r="J96" s="10"/>
      <c r="K96" s="15"/>
    </row>
    <row r="97" spans="4:11" x14ac:dyDescent="0.25">
      <c r="D97" s="375" t="s">
        <v>87</v>
      </c>
      <c r="E97" s="376" t="s">
        <v>4</v>
      </c>
      <c r="F97">
        <v>12</v>
      </c>
      <c r="G97" s="367" t="s">
        <v>444</v>
      </c>
      <c r="H97" s="367" t="s">
        <v>198</v>
      </c>
      <c r="I97" s="367" t="s">
        <v>233</v>
      </c>
      <c r="J97" s="10"/>
      <c r="K97" s="15"/>
    </row>
    <row r="98" spans="4:11" x14ac:dyDescent="0.25">
      <c r="D98" s="369" t="s">
        <v>88</v>
      </c>
      <c r="E98" s="370" t="s">
        <v>4</v>
      </c>
      <c r="F98">
        <v>50</v>
      </c>
      <c r="G98" s="367" t="s">
        <v>444</v>
      </c>
      <c r="H98" s="367" t="s">
        <v>197</v>
      </c>
      <c r="I98" s="367" t="s">
        <v>233</v>
      </c>
      <c r="J98" s="10"/>
      <c r="K98" s="15"/>
    </row>
    <row r="99" spans="4:11" x14ac:dyDescent="0.25">
      <c r="D99" s="372" t="s">
        <v>89</v>
      </c>
      <c r="E99" s="370" t="s">
        <v>3</v>
      </c>
      <c r="F99">
        <v>10</v>
      </c>
      <c r="G99" s="367" t="s">
        <v>444</v>
      </c>
      <c r="I99" s="367" t="s">
        <v>233</v>
      </c>
      <c r="J99" s="10"/>
      <c r="K99" s="15"/>
    </row>
    <row r="100" spans="4:11" x14ac:dyDescent="0.25">
      <c r="D100" s="369" t="s">
        <v>90</v>
      </c>
      <c r="E100" s="370" t="s">
        <v>4</v>
      </c>
      <c r="F100">
        <v>75</v>
      </c>
      <c r="G100" s="367" t="s">
        <v>444</v>
      </c>
      <c r="H100" s="367" t="s">
        <v>442</v>
      </c>
      <c r="I100" s="367" t="s">
        <v>233</v>
      </c>
      <c r="K100" s="9"/>
    </row>
    <row r="101" spans="4:11" x14ac:dyDescent="0.25">
      <c r="D101" s="369" t="s">
        <v>91</v>
      </c>
      <c r="E101" s="370" t="s">
        <v>4</v>
      </c>
      <c r="F101">
        <v>300</v>
      </c>
      <c r="G101" s="367" t="s">
        <v>444</v>
      </c>
      <c r="H101" s="367" t="s">
        <v>442</v>
      </c>
      <c r="I101" s="367" t="s">
        <v>233</v>
      </c>
      <c r="K101" s="9"/>
    </row>
    <row r="102" spans="4:11" x14ac:dyDescent="0.25">
      <c r="D102" s="369" t="s">
        <v>229</v>
      </c>
      <c r="E102" s="387" t="s">
        <v>4</v>
      </c>
      <c r="F102">
        <v>75</v>
      </c>
      <c r="G102" s="367" t="s">
        <v>444</v>
      </c>
      <c r="H102" s="367" t="s">
        <v>442</v>
      </c>
      <c r="I102" s="367" t="s">
        <v>233</v>
      </c>
      <c r="K102" s="9"/>
    </row>
    <row r="103" spans="4:11" x14ac:dyDescent="0.25">
      <c r="D103" s="369" t="s">
        <v>230</v>
      </c>
      <c r="E103" s="388" t="s">
        <v>4</v>
      </c>
      <c r="F103">
        <v>300</v>
      </c>
      <c r="G103" s="367" t="s">
        <v>444</v>
      </c>
      <c r="H103" s="367" t="s">
        <v>442</v>
      </c>
      <c r="I103" s="367" t="s">
        <v>233</v>
      </c>
      <c r="K103" s="9"/>
    </row>
    <row r="104" spans="4:11" ht="15.75" thickBot="1" x14ac:dyDescent="0.3">
      <c r="D104" s="381" t="s">
        <v>92</v>
      </c>
      <c r="E104" s="389" t="s">
        <v>4</v>
      </c>
      <c r="F104">
        <v>200</v>
      </c>
      <c r="G104" s="367" t="s">
        <v>444</v>
      </c>
      <c r="H104" s="367" t="s">
        <v>442</v>
      </c>
      <c r="I104" s="367" t="s">
        <v>233</v>
      </c>
      <c r="K104" s="9"/>
    </row>
    <row r="105" spans="4:11" ht="15.75" thickBot="1" x14ac:dyDescent="0.3">
      <c r="D105" s="378" t="s">
        <v>93</v>
      </c>
      <c r="E105" s="379" t="s">
        <v>457</v>
      </c>
      <c r="H105" s="367" t="s">
        <v>324</v>
      </c>
      <c r="I105" s="367" t="s">
        <v>233</v>
      </c>
      <c r="K105" s="9"/>
    </row>
    <row r="106" spans="4:11" ht="16.5" customHeight="1" x14ac:dyDescent="0.25">
      <c r="D106" s="13"/>
      <c r="K106" s="9"/>
    </row>
    <row r="107" spans="4:11" ht="16.5" customHeight="1" x14ac:dyDescent="0.25"/>
    <row r="108" spans="4:11" ht="16.5" customHeight="1" x14ac:dyDescent="0.25"/>
    <row r="109" spans="4:11" ht="17.25" customHeight="1" x14ac:dyDescent="0.25"/>
    <row r="112" spans="4:11" ht="15" customHeight="1" x14ac:dyDescent="0.25"/>
    <row r="115" ht="12.75" customHeight="1" x14ac:dyDescent="0.25"/>
    <row r="131" spans="3:3" x14ac:dyDescent="0.25">
      <c r="C131" s="367" t="s">
        <v>232</v>
      </c>
    </row>
    <row r="134" spans="3:3" ht="17.25" customHeight="1" x14ac:dyDescent="0.25"/>
    <row r="135" spans="3:3" ht="20.25" customHeight="1" x14ac:dyDescent="0.25"/>
  </sheetData>
  <sheetProtection algorithmName="SHA-512" hashValue="rkNsiM3Jeaie2ZxAVNIvSYGMkg4YZqOexPWFkCDB1g98p15RwCh+Tvix3bs++AQEm5wQEM/F4DOygp9G9Ua4hQ==" saltValue="EwRpmr8vwdKNSkoeFuNKFQ==" spinCount="100000" sheet="1" objects="1" scenarios="1"/>
  <hyperlinks>
    <hyperlink ref="H1" r:id="rId1" xr:uid="{00000000-0004-0000-1000-000000000000}"/>
    <hyperlink ref="I1" r:id="rId2" xr:uid="{00000000-0004-0000-1000-000001000000}"/>
  </hyperlinks>
  <pageMargins left="0.7" right="0.7" top="0.75" bottom="0.75" header="0.3" footer="0.3"/>
  <pageSetup paperSize="9" orientation="portrait" r:id="rId3"/>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MANA-1973704451-580</_dlc_DocId>
    <_dlc_DocIdUrl xmlns="9be56660-2c31-41ef-bc00-23e72f632f2a">
      <Url>https://cyfoethnaturiolcymru.sharepoint.com/teams/manbus/ManagingRegionsAndGroups/hbreksp/_layouts/15/DocIdRedir.aspx?ID=MANA-1973704451-580</Url>
      <Description>MANA-1973704451-580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Props1.xml><?xml version="1.0" encoding="utf-8"?>
<ds:datastoreItem xmlns:ds="http://schemas.openxmlformats.org/officeDocument/2006/customXml" ds:itemID="{A8CBB9AE-4945-4476-93AD-E66755417E99}">
  <ds:schemaRefs>
    <ds:schemaRef ds:uri="http://schemas.microsoft.com/sharepoint/v3/contenttype/forms"/>
  </ds:schemaRefs>
</ds:datastoreItem>
</file>

<file path=customXml/itemProps2.xml><?xml version="1.0" encoding="utf-8"?>
<ds:datastoreItem xmlns:ds="http://schemas.openxmlformats.org/officeDocument/2006/customXml" ds:itemID="{130E6885-559B-43E8-B80E-93F388622BD2}">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9be56660-2c31-41ef-bc00-23e72f632f2a"/>
    <ds:schemaRef ds:uri="http://www.w3.org/XML/1998/namespace"/>
    <ds:schemaRef ds:uri="http://purl.org/dc/dcmitype/"/>
  </ds:schemaRefs>
</ds:datastoreItem>
</file>

<file path=customXml/itemProps3.xml><?xml version="1.0" encoding="utf-8"?>
<ds:datastoreItem xmlns:ds="http://schemas.openxmlformats.org/officeDocument/2006/customXml" ds:itemID="{C051C66B-51AA-49EB-AEFB-81A81D9C71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25169E3-8FBC-41CE-8C76-79A6BB6A50D7}">
  <ds:schemaRefs>
    <ds:schemaRef ds:uri="http://schemas.microsoft.com/sharepoint/events"/>
  </ds:schemaRefs>
</ds:datastoreItem>
</file>

<file path=customXml/itemProps5.xml><?xml version="1.0" encoding="utf-8"?>
<ds:datastoreItem xmlns:ds="http://schemas.openxmlformats.org/officeDocument/2006/customXml" ds:itemID="{B69AD824-15EC-4E35-A0F4-4E37A2BD858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Canllawiau</vt:lpstr>
      <vt:lpstr>Cyflwyniad</vt:lpstr>
      <vt:lpstr>Gweithgareddau rhestredig</vt:lpstr>
      <vt:lpstr>Gweithgareddau eraill</vt:lpstr>
      <vt:lpstr>Amrwymiadau</vt:lpstr>
      <vt:lpstr>Picklists</vt:lpstr>
      <vt:lpstr>category</vt:lpstr>
      <vt:lpstr>Cyfarpar_Hylosgi_Canolig</vt:lpstr>
      <vt:lpstr>Cyfarpar_Hylosgi_Canolig_a_Generaduron_Penodedig</vt:lpstr>
      <vt:lpstr>Generaduron_penodedig</vt:lpstr>
      <vt:lpstr>Gweithgareddau_gwastraff_uniongyrchol_gysylltiedig</vt:lpstr>
      <vt:lpstr>No</vt:lpstr>
      <vt:lpstr>Operator</vt:lpstr>
      <vt:lpstr>Rhan_A2</vt:lpstr>
      <vt:lpstr>Rhan_B</vt:lpstr>
      <vt:lpstr>RhanB_CHC_a_neu_EP</vt:lpstr>
      <vt:lpstr>Yes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Mark.Broom</dc:creator>
  <cp:keywords/>
  <dc:description/>
  <cp:lastModifiedBy>Wright, Thomas</cp:lastModifiedBy>
  <dcterms:created xsi:type="dcterms:W3CDTF">2022-08-19T07:52:48Z</dcterms:created>
  <dcterms:modified xsi:type="dcterms:W3CDTF">2024-06-28T09:22:57Z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0af4fccd-2cd7-4fb4-b8cd-dd99d978df3e</vt:lpwstr>
  </property>
</Properties>
</file>