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cyfoethnaturiolcymru-my.sharepoint.com/personal/shaun_potts_cyfoethnaturiolcymru_gov_uk/Documents/Documents/"/>
    </mc:Choice>
  </mc:AlternateContent>
  <xr:revisionPtr revIDLastSave="0" documentId="8_{666BB410-0208-4486-A7EE-63F98516ADA5}" xr6:coauthVersionLast="47" xr6:coauthVersionMax="47" xr10:uidLastSave="{00000000-0000-0000-0000-000000000000}"/>
  <bookViews>
    <workbookView xWindow="-108" yWindow="-108" windowWidth="23256" windowHeight="12576" firstSheet="4" activeTab="4" xr2:uid="{28DB608C-08CC-4745-B1CD-AAD22044CB12}"/>
  </bookViews>
  <sheets>
    <sheet name="Guidance New" sheetId="26" r:id="rId1"/>
    <sheet name="Introduction" sheetId="1" r:id="rId2"/>
    <sheet name="1 Listed activity" sheetId="3" r:id="rId3"/>
    <sheet name="2 Other activities" sheetId="4" r:id="rId4"/>
    <sheet name="3 New Application" sheetId="18" r:id="rId5"/>
    <sheet name="Picklists" sheetId="2" state="hidden" r:id="rId6"/>
  </sheets>
  <definedNames>
    <definedName name="category">Picklists!$N$3:$T$3</definedName>
    <definedName name="DAA_waste_activity">Picklists!$Q$4:$Q$5</definedName>
    <definedName name="MCP">Picklists!$T$4:$T$4</definedName>
    <definedName name="MCP_and_SG">Picklists!$R$4:$R$6</definedName>
    <definedName name="No">Picklists!$AG$3</definedName>
    <definedName name="Operator">Picklists!$AF$2:$AG$2</definedName>
    <definedName name="Part_B">Picklists!$O$4:$O$74</definedName>
    <definedName name="PartA2">Picklists!$N$4:$N$24</definedName>
    <definedName name="PartB_MCP_and_or_SG">Picklists!$P$4:$P$9</definedName>
    <definedName name="SG">Picklists!$S$4:$S$4</definedName>
    <definedName name="Yes">Picklists!$AF$3:$AF$4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1" i="18" l="1"/>
  <c r="C13" i="1"/>
  <c r="I26" i="1"/>
  <c r="D16" i="1" l="1"/>
  <c r="E16" i="1"/>
  <c r="F16" i="1"/>
  <c r="C16" i="1"/>
  <c r="E2" i="4"/>
  <c r="C2" i="3"/>
  <c r="C3" i="1"/>
  <c r="C2" i="26"/>
  <c r="I44" i="18"/>
  <c r="I42" i="18"/>
  <c r="H61" i="18" l="1"/>
  <c r="I52" i="18"/>
  <c r="I53" i="18"/>
  <c r="I54" i="18"/>
  <c r="I55" i="18"/>
  <c r="I56" i="18"/>
  <c r="I57" i="18"/>
  <c r="I58" i="18"/>
  <c r="I51" i="18"/>
  <c r="O21" i="3" l="1"/>
  <c r="O29" i="3"/>
  <c r="W13" i="3"/>
  <c r="W14" i="3"/>
  <c r="O14" i="3" s="1"/>
  <c r="W15" i="3"/>
  <c r="O15" i="3" s="1"/>
  <c r="W16" i="3"/>
  <c r="O16" i="3" s="1"/>
  <c r="W17" i="3"/>
  <c r="O17" i="3" s="1"/>
  <c r="W18" i="3"/>
  <c r="O18" i="3" s="1"/>
  <c r="W19" i="3"/>
  <c r="O19" i="3" s="1"/>
  <c r="W20" i="3"/>
  <c r="O20" i="3" s="1"/>
  <c r="W21" i="3"/>
  <c r="W22" i="3"/>
  <c r="O22" i="3" s="1"/>
  <c r="W23" i="3"/>
  <c r="O23" i="3" s="1"/>
  <c r="W24" i="3"/>
  <c r="O24" i="3" s="1"/>
  <c r="W25" i="3"/>
  <c r="O25" i="3" s="1"/>
  <c r="W26" i="3"/>
  <c r="O26" i="3" s="1"/>
  <c r="W27" i="3"/>
  <c r="O27" i="3" s="1"/>
  <c r="W28" i="3"/>
  <c r="O28" i="3" s="1"/>
  <c r="W29" i="3"/>
  <c r="W30" i="3"/>
  <c r="O30" i="3" s="1"/>
  <c r="W31" i="3"/>
  <c r="O31" i="3" s="1"/>
  <c r="W32" i="3"/>
  <c r="O32" i="3" s="1"/>
  <c r="W33" i="3"/>
  <c r="O33" i="3" s="1"/>
  <c r="W34" i="3"/>
  <c r="O34" i="3" s="1"/>
  <c r="W10" i="3"/>
  <c r="O10" i="3" s="1"/>
  <c r="W11" i="3"/>
  <c r="O11" i="3" s="1"/>
  <c r="W12" i="3"/>
  <c r="O12" i="3" s="1"/>
  <c r="R10" i="3"/>
  <c r="I11" i="3"/>
  <c r="I12" i="3"/>
  <c r="I13" i="3"/>
  <c r="I14" i="3"/>
  <c r="I15" i="3"/>
  <c r="I16" i="3"/>
  <c r="I17" i="3"/>
  <c r="I18" i="3"/>
  <c r="I19" i="3"/>
  <c r="I20" i="3"/>
  <c r="I21" i="3"/>
  <c r="I22" i="3"/>
  <c r="I23" i="3"/>
  <c r="I24" i="3"/>
  <c r="I25" i="3"/>
  <c r="I26" i="3"/>
  <c r="I27" i="3"/>
  <c r="I28" i="3"/>
  <c r="I29" i="3"/>
  <c r="I30" i="3"/>
  <c r="I31" i="3"/>
  <c r="I32" i="3"/>
  <c r="I33" i="3"/>
  <c r="I34" i="3"/>
  <c r="I10" i="3"/>
  <c r="I13" i="4"/>
  <c r="I15" i="4"/>
  <c r="I14" i="4"/>
  <c r="I16" i="4"/>
  <c r="I17" i="4"/>
  <c r="I18" i="4"/>
  <c r="I19" i="4"/>
  <c r="I20" i="4"/>
  <c r="I21" i="4"/>
  <c r="I22" i="4"/>
  <c r="I23" i="4"/>
  <c r="I24" i="4"/>
  <c r="I25" i="4"/>
  <c r="I26" i="4"/>
  <c r="I27" i="4"/>
  <c r="I28" i="4"/>
  <c r="I29" i="4"/>
  <c r="I30" i="4"/>
  <c r="I31" i="4"/>
  <c r="I32" i="4"/>
  <c r="O13" i="3" l="1"/>
  <c r="E7" i="18"/>
  <c r="E6" i="18"/>
  <c r="F43" i="18" l="1"/>
  <c r="B21" i="4" l="1"/>
  <c r="B14" i="4"/>
  <c r="B13" i="4"/>
  <c r="M58" i="18" l="1"/>
  <c r="H58" i="18"/>
  <c r="M57" i="18"/>
  <c r="H57" i="18"/>
  <c r="M56" i="18"/>
  <c r="H56" i="18"/>
  <c r="M55" i="18"/>
  <c r="H55" i="18"/>
  <c r="M54" i="18"/>
  <c r="H54" i="18"/>
  <c r="M53" i="18"/>
  <c r="H53" i="18"/>
  <c r="M52" i="18"/>
  <c r="H52" i="18"/>
  <c r="M51" i="18"/>
  <c r="H51" i="18"/>
  <c r="E61" i="18"/>
  <c r="F42" i="18"/>
  <c r="J42" i="18" s="1"/>
  <c r="M42" i="18" l="1"/>
  <c r="H60" i="18" a="1"/>
  <c r="H60" i="18" s="1"/>
  <c r="E60" i="18" s="1"/>
  <c r="M59" i="18"/>
  <c r="M15" i="1" s="1"/>
  <c r="K22" i="18" l="1"/>
  <c r="M10" i="3"/>
  <c r="G7" i="4" l="1"/>
  <c r="D7" i="3"/>
  <c r="G12" i="3"/>
  <c r="S12" i="3" s="1"/>
  <c r="G13" i="3"/>
  <c r="S13" i="3" s="1"/>
  <c r="R15" i="3"/>
  <c r="R16" i="3"/>
  <c r="R17" i="3"/>
  <c r="R18" i="3"/>
  <c r="R19" i="3"/>
  <c r="R20" i="3"/>
  <c r="R21" i="3"/>
  <c r="R22" i="3"/>
  <c r="R23" i="3"/>
  <c r="R24" i="3"/>
  <c r="R25" i="3"/>
  <c r="R26" i="3"/>
  <c r="R27" i="3"/>
  <c r="R28" i="3"/>
  <c r="R29" i="3"/>
  <c r="R30" i="3"/>
  <c r="R31" i="3"/>
  <c r="R32" i="3"/>
  <c r="R33" i="3"/>
  <c r="R34" i="3"/>
  <c r="M11" i="3" l="1"/>
  <c r="G11" i="3"/>
  <c r="S11" i="3" s="1"/>
  <c r="J11" i="3"/>
  <c r="K11" i="3"/>
  <c r="L11" i="3" s="1"/>
  <c r="J12" i="3"/>
  <c r="K12" i="3"/>
  <c r="L12" i="3" s="1"/>
  <c r="M12" i="3"/>
  <c r="N12" i="3" s="1"/>
  <c r="J13" i="3"/>
  <c r="K13" i="3"/>
  <c r="L13" i="3" s="1"/>
  <c r="M13" i="3"/>
  <c r="N13" i="3" s="1"/>
  <c r="G14" i="3"/>
  <c r="S14" i="3" s="1"/>
  <c r="J14" i="3"/>
  <c r="K14" i="3"/>
  <c r="L14" i="3" s="1"/>
  <c r="M14" i="3"/>
  <c r="N14" i="3" s="1"/>
  <c r="G15" i="3"/>
  <c r="S15" i="3" s="1"/>
  <c r="J15" i="3"/>
  <c r="K15" i="3"/>
  <c r="L15" i="3" s="1"/>
  <c r="M15" i="3"/>
  <c r="N15" i="3" s="1"/>
  <c r="G16" i="3"/>
  <c r="S16" i="3" s="1"/>
  <c r="J16" i="3"/>
  <c r="K16" i="3"/>
  <c r="L16" i="3" s="1"/>
  <c r="M16" i="3"/>
  <c r="N16" i="3" s="1"/>
  <c r="G17" i="3"/>
  <c r="S17" i="3" s="1"/>
  <c r="J17" i="3"/>
  <c r="K17" i="3"/>
  <c r="L17" i="3" s="1"/>
  <c r="M17" i="3"/>
  <c r="N17" i="3" s="1"/>
  <c r="G18" i="3"/>
  <c r="S18" i="3" s="1"/>
  <c r="J18" i="3"/>
  <c r="K18" i="3"/>
  <c r="L18" i="3" s="1"/>
  <c r="M18" i="3"/>
  <c r="N18" i="3" s="1"/>
  <c r="G19" i="3"/>
  <c r="S19" i="3" s="1"/>
  <c r="J19" i="3"/>
  <c r="K19" i="3"/>
  <c r="L19" i="3" s="1"/>
  <c r="M19" i="3"/>
  <c r="N19" i="3" s="1"/>
  <c r="G20" i="3"/>
  <c r="S20" i="3" s="1"/>
  <c r="J20" i="3"/>
  <c r="K20" i="3"/>
  <c r="L20" i="3" s="1"/>
  <c r="M20" i="3"/>
  <c r="N20" i="3" s="1"/>
  <c r="G21" i="3"/>
  <c r="S21" i="3" s="1"/>
  <c r="J21" i="3"/>
  <c r="K21" i="3"/>
  <c r="L21" i="3" s="1"/>
  <c r="M21" i="3"/>
  <c r="N21" i="3" s="1"/>
  <c r="G22" i="3"/>
  <c r="S22" i="3" s="1"/>
  <c r="J22" i="3"/>
  <c r="K22" i="3"/>
  <c r="L22" i="3" s="1"/>
  <c r="M22" i="3"/>
  <c r="N22" i="3" s="1"/>
  <c r="G23" i="3"/>
  <c r="S23" i="3" s="1"/>
  <c r="J23" i="3"/>
  <c r="K23" i="3"/>
  <c r="L23" i="3" s="1"/>
  <c r="M23" i="3"/>
  <c r="N23" i="3" s="1"/>
  <c r="G24" i="3"/>
  <c r="S24" i="3" s="1"/>
  <c r="J24" i="3"/>
  <c r="K24" i="3"/>
  <c r="L24" i="3" s="1"/>
  <c r="M24" i="3"/>
  <c r="N24" i="3" s="1"/>
  <c r="G25" i="3"/>
  <c r="S25" i="3" s="1"/>
  <c r="J25" i="3"/>
  <c r="K25" i="3"/>
  <c r="L25" i="3" s="1"/>
  <c r="M25" i="3"/>
  <c r="N25" i="3" s="1"/>
  <c r="G26" i="3"/>
  <c r="S26" i="3" s="1"/>
  <c r="J26" i="3"/>
  <c r="K26" i="3"/>
  <c r="L26" i="3" s="1"/>
  <c r="M26" i="3"/>
  <c r="N26" i="3" s="1"/>
  <c r="G27" i="3"/>
  <c r="S27" i="3" s="1"/>
  <c r="J27" i="3"/>
  <c r="K27" i="3"/>
  <c r="L27" i="3" s="1"/>
  <c r="M27" i="3"/>
  <c r="N27" i="3" s="1"/>
  <c r="G28" i="3"/>
  <c r="S28" i="3" s="1"/>
  <c r="J28" i="3"/>
  <c r="K28" i="3"/>
  <c r="L28" i="3" s="1"/>
  <c r="M28" i="3"/>
  <c r="N28" i="3" s="1"/>
  <c r="G29" i="3"/>
  <c r="S29" i="3" s="1"/>
  <c r="J29" i="3"/>
  <c r="K29" i="3"/>
  <c r="L29" i="3" s="1"/>
  <c r="M29" i="3"/>
  <c r="N29" i="3" s="1"/>
  <c r="G30" i="3"/>
  <c r="S30" i="3" s="1"/>
  <c r="J30" i="3"/>
  <c r="K30" i="3"/>
  <c r="L30" i="3" s="1"/>
  <c r="M30" i="3"/>
  <c r="N30" i="3" s="1"/>
  <c r="G31" i="3"/>
  <c r="S31" i="3" s="1"/>
  <c r="J31" i="3"/>
  <c r="K31" i="3"/>
  <c r="L31" i="3" s="1"/>
  <c r="M31" i="3"/>
  <c r="N31" i="3" s="1"/>
  <c r="G32" i="3"/>
  <c r="S32" i="3" s="1"/>
  <c r="J32" i="3"/>
  <c r="K32" i="3"/>
  <c r="L32" i="3" s="1"/>
  <c r="M32" i="3"/>
  <c r="N32" i="3" s="1"/>
  <c r="G33" i="3"/>
  <c r="S33" i="3" s="1"/>
  <c r="J33" i="3"/>
  <c r="K33" i="3"/>
  <c r="L33" i="3" s="1"/>
  <c r="M33" i="3"/>
  <c r="N33" i="3" s="1"/>
  <c r="G34" i="3"/>
  <c r="S34" i="3" s="1"/>
  <c r="J34" i="3"/>
  <c r="K34" i="3"/>
  <c r="L34" i="3" s="1"/>
  <c r="M34" i="3"/>
  <c r="N34" i="3" s="1"/>
  <c r="K10" i="3"/>
  <c r="J10" i="3"/>
  <c r="G10" i="3"/>
  <c r="S10" i="3" s="1"/>
  <c r="G14" i="18" l="1"/>
  <c r="I14" i="18" s="1"/>
  <c r="Q10" i="3"/>
  <c r="Q11" i="3"/>
  <c r="Q12" i="3"/>
  <c r="Q13" i="3"/>
  <c r="Q14" i="3"/>
  <c r="Q15" i="3"/>
  <c r="Q16" i="3"/>
  <c r="Q17" i="3"/>
  <c r="Q18" i="3"/>
  <c r="Q19" i="3"/>
  <c r="Q20" i="3"/>
  <c r="Q21" i="3"/>
  <c r="Q22" i="3"/>
  <c r="Q23" i="3"/>
  <c r="Q24" i="3"/>
  <c r="Q25" i="3"/>
  <c r="Q26" i="3"/>
  <c r="Q27" i="3"/>
  <c r="Q28" i="3"/>
  <c r="Q29" i="3"/>
  <c r="Q30" i="3"/>
  <c r="Q31" i="3"/>
  <c r="Q32" i="3"/>
  <c r="Q33" i="3"/>
  <c r="Q34" i="3"/>
  <c r="L10" i="3"/>
  <c r="P11" i="3" l="1"/>
  <c r="P12" i="3"/>
  <c r="P13" i="3"/>
  <c r="P14" i="3"/>
  <c r="P15" i="3"/>
  <c r="P16" i="3"/>
  <c r="P17" i="3"/>
  <c r="P18" i="3"/>
  <c r="P19" i="3"/>
  <c r="P20" i="3"/>
  <c r="P21" i="3"/>
  <c r="P22" i="3"/>
  <c r="P23" i="3"/>
  <c r="P24" i="3"/>
  <c r="P25" i="3"/>
  <c r="P26" i="3"/>
  <c r="P27" i="3"/>
  <c r="P28" i="3"/>
  <c r="P29" i="3"/>
  <c r="P30" i="3"/>
  <c r="P31" i="3"/>
  <c r="P32" i="3"/>
  <c r="P33" i="3"/>
  <c r="P34" i="3"/>
  <c r="P10" i="3"/>
  <c r="B15" i="4"/>
  <c r="B16" i="4"/>
  <c r="B17" i="4"/>
  <c r="B18" i="4"/>
  <c r="B19" i="4"/>
  <c r="B20" i="4"/>
  <c r="B22" i="4"/>
  <c r="B23" i="4"/>
  <c r="B24" i="4"/>
  <c r="B25" i="4"/>
  <c r="B26" i="4"/>
  <c r="B27" i="4"/>
  <c r="B28" i="4"/>
  <c r="B29" i="4"/>
  <c r="B30" i="4"/>
  <c r="B31" i="4"/>
  <c r="B32" i="4"/>
  <c r="C14" i="4"/>
  <c r="C15" i="4"/>
  <c r="C16" i="4"/>
  <c r="C17" i="4"/>
  <c r="C18" i="4"/>
  <c r="C19" i="4"/>
  <c r="C20" i="4"/>
  <c r="C21" i="4"/>
  <c r="C22" i="4"/>
  <c r="C23" i="4"/>
  <c r="C24" i="4"/>
  <c r="C25" i="4"/>
  <c r="C26" i="4"/>
  <c r="C27" i="4"/>
  <c r="C28" i="4"/>
  <c r="C29" i="4"/>
  <c r="C30" i="4"/>
  <c r="C31" i="4"/>
  <c r="C32" i="4"/>
  <c r="C13" i="4"/>
  <c r="J43" i="18"/>
  <c r="F41" i="18"/>
  <c r="J41" i="18" s="1"/>
  <c r="M41" i="18" s="1"/>
  <c r="G33" i="18"/>
  <c r="M43" i="18" l="1"/>
  <c r="H12" i="4"/>
  <c r="F12" i="4"/>
  <c r="P8" i="3"/>
  <c r="H17" i="18" s="1"/>
  <c r="E17" i="18" s="1"/>
  <c r="F44" i="18" l="1"/>
  <c r="J44" i="18" s="1"/>
  <c r="M44" i="18" s="1"/>
  <c r="M45" i="18" s="1"/>
  <c r="M14" i="1" s="1"/>
  <c r="H46" i="18"/>
  <c r="E46" i="18" s="1"/>
  <c r="H47" i="18"/>
  <c r="E47" i="18" s="1"/>
  <c r="G32" i="18"/>
  <c r="I32" i="18" s="1"/>
  <c r="R12" i="3"/>
  <c r="K27" i="18"/>
  <c r="G34" i="18"/>
  <c r="I34" i="18" s="1"/>
  <c r="R11" i="3"/>
  <c r="R13" i="3"/>
  <c r="T14" i="3"/>
  <c r="T15" i="3"/>
  <c r="I10" i="18"/>
  <c r="K34" i="18" l="1"/>
  <c r="K10" i="18"/>
  <c r="G15" i="18"/>
  <c r="R14" i="3"/>
  <c r="I15" i="18" l="1"/>
  <c r="K23" i="18" s="1"/>
  <c r="K24" i="18" s="1"/>
  <c r="G11" i="18" a="1"/>
  <c r="G11" i="18" s="1"/>
  <c r="R8" i="3"/>
  <c r="I12" i="18"/>
  <c r="K12" i="18" s="1"/>
  <c r="K25" i="18" l="1"/>
  <c r="K26" i="18" s="1"/>
  <c r="I11" i="18"/>
  <c r="K11" i="18" s="1"/>
  <c r="K18" i="18" s="1"/>
  <c r="J18" i="18" s="1"/>
  <c r="H18" i="18"/>
  <c r="E18" i="18" s="1"/>
  <c r="K28" i="18" l="1"/>
  <c r="R29" i="18" s="1"/>
  <c r="M36" i="18" s="1"/>
  <c r="L11" i="1" s="1"/>
  <c r="K29" i="18"/>
  <c r="M37" i="18" l="1"/>
  <c r="M13" i="1" s="1"/>
  <c r="D6" i="3"/>
  <c r="G6" i="4"/>
  <c r="K37" i="18" l="1"/>
  <c r="K64" i="18" s="1"/>
  <c r="M64" i="18" s="1"/>
  <c r="M16" i="1" s="1"/>
  <c r="M66" i="18" l="1"/>
  <c r="M1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Alison.Soper</author>
  </authors>
  <commentList>
    <comment ref="F9" authorId="0" shapeId="0" xr:uid="{F2393D7B-C5E6-4C42-9C57-BBECF93AFF81}">
      <text>
        <r>
          <rPr>
            <sz val="9"/>
            <color indexed="81"/>
            <rFont val="Tahoma"/>
            <family val="2"/>
          </rPr>
          <t xml:space="preserve">Is this the main regulated activity for your site? 
</t>
        </r>
      </text>
    </comment>
    <comment ref="H9" authorId="0" shapeId="0" xr:uid="{E53AB9D7-BB31-4E11-8417-4C17C5590694}">
      <text>
        <r>
          <rPr>
            <sz val="9"/>
            <color indexed="81"/>
            <rFont val="Tahoma"/>
            <family val="2"/>
          </rPr>
          <t xml:space="preserve">Input the maximum operational capacity for the activity. 
</t>
        </r>
      </text>
    </comment>
    <comment ref="N9" authorId="0" shapeId="0" xr:uid="{54B682FD-DBF1-441D-BFEA-14E8F60AC433}">
      <text>
        <r>
          <rPr>
            <sz val="9"/>
            <color indexed="81"/>
            <rFont val="Tahoma"/>
            <family val="2"/>
          </rPr>
          <t xml:space="preserve">TCM applies to certain waste activities when they are the main activity on the Installation
</t>
        </r>
      </text>
    </comment>
    <comment ref="R11" authorId="0" shapeId="0" xr:uid="{08980488-1367-4294-BFE4-B160C7DFFEC0}">
      <text>
        <r>
          <rPr>
            <b/>
            <sz val="9"/>
            <color indexed="81"/>
            <rFont val="Tahoma"/>
            <family val="2"/>
          </rPr>
          <t>Alison.Soper:</t>
        </r>
        <r>
          <rPr>
            <sz val="9"/>
            <color indexed="81"/>
            <rFont val="Tahoma"/>
            <family val="2"/>
          </rPr>
          <t xml:space="preserve">
logic needs changing here so it can be complete if the listed activity column says No
I thjink this works now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Alison.Soper</author>
  </authors>
  <commentList>
    <comment ref="D3" authorId="0" shapeId="0" xr:uid="{9173AADC-C1BC-4DC7-A4BF-71AAF7E5C9C7}">
      <text>
        <r>
          <rPr>
            <b/>
            <sz val="9"/>
            <color indexed="81"/>
            <rFont val="Tahoma"/>
            <family val="2"/>
          </rPr>
          <t>Alison.Soper:</t>
        </r>
        <r>
          <rPr>
            <sz val="9"/>
            <color indexed="81"/>
            <rFont val="Tahoma"/>
            <family val="2"/>
          </rPr>
          <t xml:space="preserve">
needs changing to the 4 that Mark has defined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<sst xmlns="http://schemas.openxmlformats.org/spreadsheetml/2006/main" count="835" uniqueCount="473">
  <si>
    <t>Version:</t>
  </si>
  <si>
    <t>Sheet</t>
  </si>
  <si>
    <t xml:space="preserve">Column </t>
  </si>
  <si>
    <t>Action</t>
  </si>
  <si>
    <t>Introduction</t>
  </si>
  <si>
    <t>Case Number</t>
  </si>
  <si>
    <t>The introductory page is where you enter a short summary of your application details and where you will be able to see the charge band and breakdown of the charge once you have completed the three pages of this charge tool. 
It explains the colour coding used in the tool. 
If you have been given a PPN reference number by NRW during pre-application discussions, please use this as the Case number, otherwise leave this cell blank</t>
  </si>
  <si>
    <t>How the bands are calculated</t>
  </si>
  <si>
    <t xml:space="preserve">1 Listed Activity </t>
  </si>
  <si>
    <t>D</t>
  </si>
  <si>
    <t>Please provide a meaningful description of the activity - for example "Manufacture of tissue on two paper machines "</t>
  </si>
  <si>
    <t>E</t>
  </si>
  <si>
    <t xml:space="preserve">Use the dropdown to select  the Part A(1) listed activities that will be carried out at your site. If you have several different lines carrying out the same listed activity you only need to enter the activity once. </t>
  </si>
  <si>
    <t>Number of entries</t>
  </si>
  <si>
    <t>F</t>
  </si>
  <si>
    <t>Use the dropdown box to indicate which activity is the main activity on your site. You can select more than one activity for this</t>
  </si>
  <si>
    <t>Listed Activities</t>
  </si>
  <si>
    <t>&gt;2</t>
  </si>
  <si>
    <t>G</t>
  </si>
  <si>
    <t xml:space="preserve">This will automatically show the threshold for that activity as it appears in Schedule 1 of the Environmental Permitting Regulations </t>
  </si>
  <si>
    <t>BATC documents</t>
  </si>
  <si>
    <t>H</t>
  </si>
  <si>
    <t>Enter the maximum capacity of your process in the same units as described in Schedule 1 of the EP Regulations</t>
  </si>
  <si>
    <t>Production Capacity</t>
  </si>
  <si>
    <t>&lt;3</t>
  </si>
  <si>
    <t>3 to 5</t>
  </si>
  <si>
    <t>&gt;5</t>
  </si>
  <si>
    <t>I</t>
  </si>
  <si>
    <t>This will automatically show the Units for the capacity</t>
  </si>
  <si>
    <t>J</t>
  </si>
  <si>
    <t xml:space="preserve">This will automatically show which BAT Conclusions document (if any ) applies to the activity. </t>
  </si>
  <si>
    <t>Score</t>
  </si>
  <si>
    <t xml:space="preserve">Link to details of all the BAT Reference documents and BAT Conclusion documents </t>
  </si>
  <si>
    <t>K</t>
  </si>
  <si>
    <t>This will automatically show if the activity requires Technically Competent Mangement. This only applies to certain waste activities where they are the main activity on the installation.</t>
  </si>
  <si>
    <t>The score for each is added up and used to determine the initial band</t>
  </si>
  <si>
    <t>The information you enter on the Introduction page is carried over onto the "New Application" page and used to autopopulate the relevent boxes in column I. The green box to the right -&gt; shows how this information is used to calculate the initial band based on the number of different listed activities, the production capacity of your main activity and the number of BAT Conclusion or Technical Guidance documents that apply.</t>
  </si>
  <si>
    <t>Band 1</t>
  </si>
  <si>
    <t>&lt;5</t>
  </si>
  <si>
    <t>Band 2</t>
  </si>
  <si>
    <t>5 to 7</t>
  </si>
  <si>
    <t>2 Other activities</t>
  </si>
  <si>
    <t>Enter a meaningful description of the activity which matches the description in your application</t>
  </si>
  <si>
    <t>Band 3</t>
  </si>
  <si>
    <t>&gt;7</t>
  </si>
  <si>
    <t>(Band 3 is the highest initial band )</t>
  </si>
  <si>
    <t>G, H</t>
  </si>
  <si>
    <t xml:space="preserve">Use the dropdowns in columns G and H to enter the relevant "Other" activities that are part of your installation. These are all activities that would require their own permit if they were not part of the installation, either from NRW or from your Local Authority. We charge a proportion of the application fee to cover the additional determination work for these activities. </t>
  </si>
  <si>
    <t>You only need to enter Directly Associated Activities that are waste activities which would need an Environmental Permit if they were not part of your installation</t>
  </si>
  <si>
    <t>The final charge band is then calculated by adding on the score from the questions section</t>
  </si>
  <si>
    <t>Notes</t>
  </si>
  <si>
    <t>If your Medium Combustion Plant is also a Part B activity you only need to enter the activity once under the "Part B MCP and or SG" option.</t>
  </si>
  <si>
    <t xml:space="preserve">You only need to include Complex MCP or SG activities in this charge tool. </t>
  </si>
  <si>
    <t>One Yes answer or additional BATC document will move a Band 1 application up to Band 2</t>
  </si>
  <si>
    <t>Two Yes answers or additional BATC documents are needed to move a Band 2 or 3 application into the next band.  (although a yes to the COMAH question subtracts 1 at this point)</t>
  </si>
  <si>
    <t>3 New Applications</t>
  </si>
  <si>
    <t>Section 1</t>
  </si>
  <si>
    <t xml:space="preserve">All the information in this section is brought across automatically from your entries on sheet 1. The number of different Part A(1) activities, the scale of those activities relative to the regulatory threshold, and the number of BAT conclusion documents that apply to those activities are used to determine the initial charge band. </t>
  </si>
  <si>
    <t>One Yes in the Higher complexity section will move the application up to at least band 3, if it is already in band 3 it will move to band 4</t>
  </si>
  <si>
    <t>The information about the requirement for Technically Competent Management and carrying out activities for which there is no BAT Conclusions document is used in the next part of the calculation, but is shown here for clarity</t>
  </si>
  <si>
    <t>Section 2</t>
  </si>
  <si>
    <t xml:space="preserve">You need to answer all the questions in this section, apart from the last two which are automatically completed from your entries on the "Listed Activity" page.  These aspects all add to the time it takes to determine the application. 
Question 2 in this section asks about any other BAT Conclusion documents that apply to your activities. We have automatically included those that always apply to certain listed activites in section 1 of this page (you can see these appear automatically against the listed activity on the "Listed Activity" page, but there are situations where we have to assess your application against additional BATCs. This will include the Large Volume Chemicals BATc; Waste Gas Treatment for the Chemical Sector.  Note that Waste Incineration is automatically included for cement manufacture. </t>
  </si>
  <si>
    <t>A "yes" answer to any of the high Complexity factors will automatically put your application into at least Band 3</t>
  </si>
  <si>
    <t>Section 3</t>
  </si>
  <si>
    <t>This shows the charge(s) for any Part A(2), Part B, Medium combustion plant, Specified generator or Waste operation activities entered on sheet 2</t>
  </si>
  <si>
    <t>Section 4</t>
  </si>
  <si>
    <t xml:space="preserve">This is where you enter the additional assessments that you are submitting as part of your application. The screening risk assessment you undertake will show when each of these assessments are required for us to be able to determine your permit application. </t>
  </si>
  <si>
    <t>Total charge</t>
  </si>
  <si>
    <t>The additional components are added to your base charge to calculate the total charge that you need to pay and shown at the bottom of this sheet</t>
  </si>
  <si>
    <t>The charge band and the elements of the charge are also shown on the Introduction page</t>
  </si>
  <si>
    <t>Charging for Installations under EPR 
Application for a New permit</t>
  </si>
  <si>
    <t>Operator Name</t>
  </si>
  <si>
    <t>Installation Name</t>
  </si>
  <si>
    <t>Application Date</t>
  </si>
  <si>
    <t>Charge band for this New Application</t>
  </si>
  <si>
    <t>Base charge</t>
  </si>
  <si>
    <t>Additional activities</t>
  </si>
  <si>
    <t>Band 4</t>
  </si>
  <si>
    <t>Additional assessments</t>
  </si>
  <si>
    <t xml:space="preserve">Total charge </t>
  </si>
  <si>
    <t>Hours covered by this charge</t>
  </si>
  <si>
    <t xml:space="preserve">The colour coding below is used throughout the tool to help you see what you need to do - You only need to enter information into white cells or chose an option from a blue dropdown box. Everything else is completed automatically </t>
  </si>
  <si>
    <t>Colour coding</t>
  </si>
  <si>
    <t>Free text</t>
  </si>
  <si>
    <t>Pick List</t>
  </si>
  <si>
    <t>Autopulated</t>
  </si>
  <si>
    <t>Guidance link available</t>
  </si>
  <si>
    <t>Instruction</t>
  </si>
  <si>
    <t>Cell answered</t>
  </si>
  <si>
    <t>Information or commentary</t>
  </si>
  <si>
    <t>Does this document contain information that is commercial in confidence?</t>
  </si>
  <si>
    <t>Guidance Link</t>
  </si>
  <si>
    <t>Installation activities and capacity</t>
  </si>
  <si>
    <t>Please enter the details of your site's activities using the dropdowns in the blue boxes below, and provide a description of each activity and the maximum capacity in the white free-text boxes</t>
  </si>
  <si>
    <t>Operator Name :</t>
  </si>
  <si>
    <t>Case Number:</t>
  </si>
  <si>
    <t>Description of Activity</t>
  </si>
  <si>
    <t>Schedule 1 Reference</t>
  </si>
  <si>
    <t>Primary Activity</t>
  </si>
  <si>
    <t>Threshold</t>
  </si>
  <si>
    <t>Capacity</t>
  </si>
  <si>
    <t>Units</t>
  </si>
  <si>
    <t>BATc applicable to this activity</t>
  </si>
  <si>
    <t>TCM activity</t>
  </si>
  <si>
    <t>Technically Competent Management required</t>
  </si>
  <si>
    <t>descriptor</t>
  </si>
  <si>
    <t>Primary activity</t>
  </si>
  <si>
    <t>Output missing</t>
  </si>
  <si>
    <t>Multiple of threshold</t>
  </si>
  <si>
    <t>Schedule1 Part A(2), Part B, Medium Combustion Plant, Specified Generator and Directly Associated Activities</t>
  </si>
  <si>
    <t>Operator Name:</t>
  </si>
  <si>
    <t>List of EPR Schedule Part (A) 2, Part B, Medium Combustion Plant (MCP), Specified Generator (SG) and Directly Associated Waste Activities included in the Installation</t>
  </si>
  <si>
    <t>activity descriptor</t>
  </si>
  <si>
    <t>EPR sched ref</t>
  </si>
  <si>
    <t>Enter description of Activity</t>
  </si>
  <si>
    <t>Part A2 or Part B or Associated process (DAA) or MCP or SG</t>
  </si>
  <si>
    <t>EPR Schedule Reference or Activity description</t>
  </si>
  <si>
    <t>Information/guidance</t>
  </si>
  <si>
    <t>NRW SRoC v2 2024-25</t>
  </si>
  <si>
    <t>Application for a new bespoke Installation Permit</t>
  </si>
  <si>
    <t>cut-off scores for initial band</t>
  </si>
  <si>
    <t xml:space="preserve">Section 1 
</t>
  </si>
  <si>
    <r>
      <rPr>
        <b/>
        <sz val="14"/>
        <color theme="1"/>
        <rFont val="Calibri"/>
        <family val="2"/>
        <scheme val="minor"/>
      </rPr>
      <t>Your activities and scale of operation</t>
    </r>
    <r>
      <rPr>
        <b/>
        <sz val="12"/>
        <color theme="1"/>
        <rFont val="Calibri"/>
        <family val="2"/>
        <scheme val="minor"/>
      </rPr>
      <t xml:space="preserve">
From information entered on the previous tabs</t>
    </r>
  </si>
  <si>
    <t>Number of different Sch 1 Part A (1) activities on the Installation</t>
  </si>
  <si>
    <t>Number of BATc or technical guidance documents applicable to your installation</t>
  </si>
  <si>
    <t>Multiples of activity threshold - main activity</t>
  </si>
  <si>
    <t>You will be required to have Technical competence for part or all of your operations (certain waste activities only)</t>
  </si>
  <si>
    <t xml:space="preserve">yes and no answers in cells I 13 and I14 are used in calcs in section 2 </t>
  </si>
  <si>
    <t>You will be carrying out Part A(1) activities for which there is no BAT Reference document or technical guidance</t>
  </si>
  <si>
    <t>listed activity description</t>
  </si>
  <si>
    <t>activity capacity</t>
  </si>
  <si>
    <t xml:space="preserve">Initial band </t>
  </si>
  <si>
    <t>Please answer all the questions below using the blue dropdown boxes</t>
  </si>
  <si>
    <t xml:space="preserve">cells below explain calcs </t>
  </si>
  <si>
    <t>Complexity Factors</t>
  </si>
  <si>
    <t xml:space="preserve">Will you be importing hazardous waste for storage and/or treatment? </t>
  </si>
  <si>
    <t xml:space="preserve">yes / no </t>
  </si>
  <si>
    <t>weighting for number of BATc docs</t>
  </si>
  <si>
    <r>
      <t xml:space="preserve">How many BAT Conclusion documents or TGNs </t>
    </r>
    <r>
      <rPr>
        <b/>
        <sz val="11"/>
        <color theme="1"/>
        <rFont val="Calibri"/>
        <family val="2"/>
        <scheme val="minor"/>
      </rPr>
      <t>not</t>
    </r>
    <r>
      <rPr>
        <sz val="11"/>
        <color theme="1"/>
        <rFont val="Calibri"/>
        <family val="2"/>
        <scheme val="minor"/>
      </rPr>
      <t xml:space="preserve"> listed in column L of the "Listed activity " tab also apply to your activities?  eg Large Volume Chemical or Waste gas treatment for the chemical sector. </t>
    </r>
  </si>
  <si>
    <t>no. of "yes" answers in this section</t>
  </si>
  <si>
    <r>
      <t xml:space="preserve">Will you be applying for Derogation from any BAT </t>
    </r>
    <r>
      <rPr>
        <sz val="11"/>
        <rFont val="Calibri"/>
        <family val="2"/>
        <scheme val="minor"/>
      </rPr>
      <t xml:space="preserve">conclusion? </t>
    </r>
  </si>
  <si>
    <t>total of 2 cells above</t>
  </si>
  <si>
    <t>Will you be carrying out any activities that fall into Chapter V of the Industrial Emissions Directive (Solvent emissions)?</t>
  </si>
  <si>
    <t>total with COMAH answer added</t>
  </si>
  <si>
    <t>Will you be requiring a multi-product protocol? (Chemical sites only)</t>
  </si>
  <si>
    <t>weighting for this section</t>
  </si>
  <si>
    <t>Does your site also fall under the COMAH Regulations? (a reduction will be applied to this section's score for COMAH sites)</t>
  </si>
  <si>
    <t>deduction for COMAH site</t>
  </si>
  <si>
    <t>High Complexity factors</t>
  </si>
  <si>
    <t>Will you be operating an activity that falls into Chapter III of the Industrial Emissions Directive (Large Combustion Plant)?</t>
  </si>
  <si>
    <t>yes/ no</t>
  </si>
  <si>
    <t>You operate an Incinerator or co-incinerator (Section 5.1 Part A1) activity</t>
  </si>
  <si>
    <t>band 1</t>
  </si>
  <si>
    <t>band 2</t>
  </si>
  <si>
    <t>band 3</t>
  </si>
  <si>
    <t>band 4</t>
  </si>
  <si>
    <t>(If you operate a cement kiln we will assume that you are a co-incinerator and Waste Incineration BATc also applies)</t>
  </si>
  <si>
    <t>Your application includes a Section 5.2 landfill activity</t>
  </si>
  <si>
    <t>The base charge band for your application is:</t>
  </si>
  <si>
    <t>The base charge for your application is:</t>
  </si>
  <si>
    <t>Other Activities</t>
  </si>
  <si>
    <t>Number of each activity type</t>
  </si>
  <si>
    <t xml:space="preserve"> charge per activity</t>
  </si>
  <si>
    <t>total charge before capping</t>
  </si>
  <si>
    <t>capped charge</t>
  </si>
  <si>
    <t>Complex Medium Combustion Plant and/or Specified Generators included in your application</t>
  </si>
  <si>
    <t>Number of Medium Combustion Plant and/or Specified Generators which are also Part B combustion or incineration activities</t>
  </si>
  <si>
    <t>Number of other Schedule 1 Part A (2) and /or Part B activities included in your application</t>
  </si>
  <si>
    <t>Number of Directly Associated Waste Activities included in your applications (not activites listed under 5.1 - 5.7 Part A(1) of the EP Regulations)</t>
  </si>
  <si>
    <t>Total for "other activities"</t>
  </si>
  <si>
    <t>Activity description entries</t>
  </si>
  <si>
    <t xml:space="preserve">EP Regulation schedule reference entries </t>
  </si>
  <si>
    <t>Information about any additional assessments that you are required to submit with your application</t>
  </si>
  <si>
    <t>Additional Assessments</t>
  </si>
  <si>
    <t xml:space="preserve">Does your application include? </t>
  </si>
  <si>
    <t>Charge added</t>
  </si>
  <si>
    <t>Amount charged per assessment</t>
  </si>
  <si>
    <t>Document reference</t>
  </si>
  <si>
    <t>A full air dispersion modelling assessment</t>
  </si>
  <si>
    <t>A full odour modelling impact assessment  (where not part of air dispersion modelling)</t>
  </si>
  <si>
    <t>A full dust or fugitive emissions modelling impact assessment (where not part of air dispersion modelling)</t>
  </si>
  <si>
    <t>A full bioaerosol modelling impact assessment</t>
  </si>
  <si>
    <t xml:space="preserve">A full noise modelling impact assessment </t>
  </si>
  <si>
    <t>A Deposit for Recovery Waste recovery Assessment</t>
  </si>
  <si>
    <t>A Fire Protection and Mitigation Plan (FPMP) for part or all of your installation</t>
  </si>
  <si>
    <t>A Water Framework Directive assessment of process effluent</t>
  </si>
  <si>
    <t>Landfill specific plans/reports are listed in Appendix 7 of part B3 of the application form - these are the ones that will be subject to time and materials charges</t>
  </si>
  <si>
    <t>The total charge for your application is:</t>
  </si>
  <si>
    <t>hourly charge</t>
  </si>
  <si>
    <t>Hours at current rate</t>
  </si>
  <si>
    <t>Listed activity</t>
  </si>
  <si>
    <t>BAT reference documents | Eippcb (europa.eu)</t>
  </si>
  <si>
    <t>The Environmental Protection (Miscellaneous Amendments) (England and Wales) Regulations 2018 (legislation.gov.uk)</t>
  </si>
  <si>
    <t>Other activities</t>
  </si>
  <si>
    <t>Other activites</t>
  </si>
  <si>
    <t>Transfers</t>
  </si>
  <si>
    <t>Surrender</t>
  </si>
  <si>
    <t>New apps</t>
  </si>
  <si>
    <t>Variations</t>
  </si>
  <si>
    <t>Other BATC</t>
  </si>
  <si>
    <t>other new/changed</t>
  </si>
  <si>
    <t>CinC</t>
  </si>
  <si>
    <t>Notes on listed activities</t>
  </si>
  <si>
    <t>Schedule 1</t>
  </si>
  <si>
    <t>OPRA Complexity band</t>
  </si>
  <si>
    <t>Threshold in EPR</t>
  </si>
  <si>
    <t>Published Guidance</t>
  </si>
  <si>
    <t>WTC</t>
  </si>
  <si>
    <t>Schedule activiites</t>
  </si>
  <si>
    <t>Rule 4</t>
  </si>
  <si>
    <t>Yes</t>
  </si>
  <si>
    <t>Full</t>
  </si>
  <si>
    <t>No</t>
  </si>
  <si>
    <t>No increase</t>
  </si>
  <si>
    <t>New</t>
  </si>
  <si>
    <t>Extra question for Ch III LCPs</t>
  </si>
  <si>
    <t xml:space="preserve">1.1 Part A (1) a) (i) </t>
  </si>
  <si>
    <t>C</t>
  </si>
  <si>
    <t>MW</t>
  </si>
  <si>
    <t>LCP</t>
  </si>
  <si>
    <t>Part A2 or Part B</t>
  </si>
  <si>
    <t>PartA2</t>
  </si>
  <si>
    <t xml:space="preserve">Part_B </t>
  </si>
  <si>
    <t>PartB_MCP_and_or_SG</t>
  </si>
  <si>
    <t>DAA_waste_activity</t>
  </si>
  <si>
    <t>MCP_and_SG</t>
  </si>
  <si>
    <t>SG</t>
  </si>
  <si>
    <t>MCP</t>
  </si>
  <si>
    <t>Complexity</t>
  </si>
  <si>
    <t>Aggregation Group</t>
  </si>
  <si>
    <t>Part</t>
  </si>
  <si>
    <t>N/A</t>
  </si>
  <si>
    <t>up to 20%</t>
  </si>
  <si>
    <t>Changed</t>
  </si>
  <si>
    <t>1.2 Part A(1) a)</t>
  </si>
  <si>
    <t>A</t>
  </si>
  <si>
    <t>TPY</t>
  </si>
  <si>
    <t>REF</t>
  </si>
  <si>
    <t>1.2 Part A(2) (a)</t>
  </si>
  <si>
    <t>1.1 Part B a)</t>
  </si>
  <si>
    <t>1.1 Part B MCP-Schedule 25A</t>
  </si>
  <si>
    <t>DAA waste activity that is not under Section 5.1 - 5.7 of Schedule 1 of the EP Regulations</t>
  </si>
  <si>
    <t>Schedule 25 A &amp; B - Both a complex MCP &amp; a complex Specified Generator</t>
  </si>
  <si>
    <t>Schedule 25B – Complex Specified generator only</t>
  </si>
  <si>
    <t>Schedule 25A - Complex Medium combustion plant only</t>
  </si>
  <si>
    <t>Now linkeddirectly to the main schedule activies</t>
  </si>
  <si>
    <t>20 % to 50%</t>
  </si>
  <si>
    <r>
      <t>1.2 Part A(1) b)</t>
    </r>
    <r>
      <rPr>
        <strike/>
        <sz val="11"/>
        <color theme="1"/>
        <rFont val="Calibri"/>
        <family val="2"/>
        <scheme val="minor"/>
      </rPr>
      <t xml:space="preserve"> </t>
    </r>
  </si>
  <si>
    <t>IS</t>
  </si>
  <si>
    <t>2.1 Part A(2) (a)</t>
  </si>
  <si>
    <t>1.1 Part B b)</t>
  </si>
  <si>
    <t>1.1 Part B SG-Schedule 25B</t>
  </si>
  <si>
    <t>Schedule 25 A &amp; B - Both a simple MCP &amp; a complex Specified Generator</t>
  </si>
  <si>
    <t>50% to 100%</t>
  </si>
  <si>
    <t xml:space="preserve">1.2 Part A (1) c) </t>
  </si>
  <si>
    <t>2.1 Part A(2) (b)</t>
  </si>
  <si>
    <t>1.1 Part B c) ii)</t>
  </si>
  <si>
    <t>1.1 Part B MCP &amp; SG _Schedule 25 A&amp;B</t>
  </si>
  <si>
    <t>Schedule 25 A &amp; B - Both a complex MCP &amp; a simple Specified Generator</t>
  </si>
  <si>
    <t>1.2 Part A (1) d)</t>
  </si>
  <si>
    <t>2.1 Part A(2) (c)</t>
  </si>
  <si>
    <t>1.1 Part B c) i)</t>
  </si>
  <si>
    <t>5.1 Part B MCP-Schedule 25A</t>
  </si>
  <si>
    <t>1.2 Part A(1) e) i)</t>
  </si>
  <si>
    <t>2.1 Part A(2) (d)</t>
  </si>
  <si>
    <t>1.2 Part B a)</t>
  </si>
  <si>
    <t>5.1 Part B SG-Schedule 25B</t>
  </si>
  <si>
    <t>1.2 Part A(1) e) ii)</t>
  </si>
  <si>
    <t>2.2 Part A(2) a)</t>
  </si>
  <si>
    <t>1.2 Part B b)</t>
  </si>
  <si>
    <t>5.1 Part B MCP &amp; SG-Schedule 25A&amp;B</t>
  </si>
  <si>
    <t>1.2 Part A (1) f)</t>
  </si>
  <si>
    <t>2.3 Part A(2) a)</t>
  </si>
  <si>
    <t>1.2 Part B c)</t>
  </si>
  <si>
    <t>5 or more</t>
  </si>
  <si>
    <t>1.2 Part A (1) g)</t>
  </si>
  <si>
    <t>3.1 Part A(2) a)</t>
  </si>
  <si>
    <t>1.2 Part B d)</t>
  </si>
  <si>
    <t>2.1 Part A (1) a)</t>
  </si>
  <si>
    <t>3.1 Part A(2) b)</t>
  </si>
  <si>
    <t>2.1 Part B a)</t>
  </si>
  <si>
    <t>2.1 Part A (1) b) i or ii</t>
  </si>
  <si>
    <t>3.3 Part A(2) a)</t>
  </si>
  <si>
    <t>2.1 Part B b) i)</t>
  </si>
  <si>
    <t>2.1 Part A (1) c)</t>
  </si>
  <si>
    <t>TPH</t>
  </si>
  <si>
    <t>FMP</t>
  </si>
  <si>
    <t>3.5 Part A(2) a)</t>
  </si>
  <si>
    <t>2.1 Part B b) ii)</t>
  </si>
  <si>
    <t>2.1 Part A (1) d)</t>
  </si>
  <si>
    <t>3.6 Part A (2) a) i)</t>
  </si>
  <si>
    <t>2.1 Part B c)</t>
  </si>
  <si>
    <t>2.2 Part A(1) a)</t>
  </si>
  <si>
    <t>NFM</t>
  </si>
  <si>
    <t>3.6 Part A (2) a) ii)</t>
  </si>
  <si>
    <t>2.1 Part B d) i)</t>
  </si>
  <si>
    <t>2.2 Part A(1) b) Cd/Pb</t>
  </si>
  <si>
    <t>B</t>
  </si>
  <si>
    <t>TPD</t>
  </si>
  <si>
    <t>5.1 Part A (2) a)</t>
  </si>
  <si>
    <t>2.1 Part B d) ii)</t>
  </si>
  <si>
    <t>2.2 Part A(1) b) other NFM</t>
  </si>
  <si>
    <t>5.1 Part A (2) b)</t>
  </si>
  <si>
    <t>2.1 Part B d) iii)</t>
  </si>
  <si>
    <t>2.2 Part A(1) c)</t>
  </si>
  <si>
    <t>5.1 Part A (2) c)</t>
  </si>
  <si>
    <t>2.1 Part B e)</t>
  </si>
  <si>
    <t>2.3 Part A (1) a)</t>
  </si>
  <si>
    <t>m3</t>
  </si>
  <si>
    <t>STM</t>
  </si>
  <si>
    <t>6.1 Part A (2) a)</t>
  </si>
  <si>
    <t>2.2 Part B a)</t>
  </si>
  <si>
    <t>3.1 Part A(1) a) rotary kilns</t>
  </si>
  <si>
    <t>CLM</t>
  </si>
  <si>
    <t>6.4 Part A (2) a)</t>
  </si>
  <si>
    <t>2.2 Part B b)</t>
  </si>
  <si>
    <t>3.1 Part A(1) a) other kilns</t>
  </si>
  <si>
    <t>6.7 Part A (2) a)</t>
  </si>
  <si>
    <t>2.2 Part B c)</t>
  </si>
  <si>
    <t>3.1 Part A(1) b)</t>
  </si>
  <si>
    <t>6.8 Part A (2) a)</t>
  </si>
  <si>
    <t>2.2 Part B d)</t>
  </si>
  <si>
    <t>3.2 Part A(1) a)</t>
  </si>
  <si>
    <t>2.2 Part B e)</t>
  </si>
  <si>
    <t>3.2 Part A(1) b)</t>
  </si>
  <si>
    <t>2.3 Part B a)</t>
  </si>
  <si>
    <t>3.3 Part A(1) a)</t>
  </si>
  <si>
    <t>GLS</t>
  </si>
  <si>
    <t>3.1 Part B a)</t>
  </si>
  <si>
    <t>3.4 Part A(1) a)</t>
  </si>
  <si>
    <t>3.1 Part B b)</t>
  </si>
  <si>
    <t>3.6 Part A(1) a)</t>
  </si>
  <si>
    <t>CER</t>
  </si>
  <si>
    <t>3.1 Part B c)</t>
  </si>
  <si>
    <t xml:space="preserve">4.1 Part A1 a) (i) </t>
  </si>
  <si>
    <t>OFC/LVOC</t>
  </si>
  <si>
    <t>3.1 Part B d)</t>
  </si>
  <si>
    <t xml:space="preserve">4.1 Part A1 a) (ii) </t>
  </si>
  <si>
    <t>3.3 Part B a)</t>
  </si>
  <si>
    <t xml:space="preserve">4.1 Part A1 a) (iii) </t>
  </si>
  <si>
    <t>3.3 Part B b)</t>
  </si>
  <si>
    <t xml:space="preserve">4.1 Part A1 a) (iv) </t>
  </si>
  <si>
    <t>3.3 Part B c)</t>
  </si>
  <si>
    <t xml:space="preserve">4.1 Part A1 a) (v) </t>
  </si>
  <si>
    <t>3.3 Part B d) i)</t>
  </si>
  <si>
    <t xml:space="preserve">4.1 Part A1 a) (vi) </t>
  </si>
  <si>
    <t>3.3 Part B d) ii)</t>
  </si>
  <si>
    <t xml:space="preserve">4.1 Part A1 a) (vii) </t>
  </si>
  <si>
    <t>3.3 Part B e)</t>
  </si>
  <si>
    <t xml:space="preserve">4.1 Part A1 a) (viii) </t>
  </si>
  <si>
    <t>POL/LVOC</t>
  </si>
  <si>
    <t>3.5 Part B a)</t>
  </si>
  <si>
    <t xml:space="preserve">4.1 Part A1 a) (ix) </t>
  </si>
  <si>
    <t>3.5 Part B b) i)</t>
  </si>
  <si>
    <t xml:space="preserve">4.1 Part A1 a) (x) </t>
  </si>
  <si>
    <t>3.5 Part B b) ii)</t>
  </si>
  <si>
    <t>4.1 Part A1 a) (xi)</t>
  </si>
  <si>
    <t>3.5 Part B b) iii)</t>
  </si>
  <si>
    <t>4.2 Part A1 (a) i)</t>
  </si>
  <si>
    <t>SIC/LVIC</t>
  </si>
  <si>
    <t>3.5 Part B c)</t>
  </si>
  <si>
    <t>4.2 Part A1 (a) ii)</t>
  </si>
  <si>
    <t>3.5 Part B d)</t>
  </si>
  <si>
    <t>4.2 Part A1 (a) iii)</t>
  </si>
  <si>
    <t>3.5 Part B e)</t>
  </si>
  <si>
    <t>4.2 Part A1 (a) iv)</t>
  </si>
  <si>
    <t>3.5 Part B f)</t>
  </si>
  <si>
    <t>4.2 Part A1 (a) v)</t>
  </si>
  <si>
    <t>3.5 Part B g)</t>
  </si>
  <si>
    <t>4.2 Part A1 (a) vi)</t>
  </si>
  <si>
    <t>3.6 Part B a)</t>
  </si>
  <si>
    <t>4.2 Part A1 (b)</t>
  </si>
  <si>
    <t>3.6 Part B b)</t>
  </si>
  <si>
    <t>4.2 Part A1 (c)</t>
  </si>
  <si>
    <t>4.1 Part B a)</t>
  </si>
  <si>
    <t>4.2 Part A1 (d)</t>
  </si>
  <si>
    <t>4.1 Part B b)</t>
  </si>
  <si>
    <t>4.2 Part A1 (e)</t>
  </si>
  <si>
    <t>4.1 Part B c)</t>
  </si>
  <si>
    <t>4.2 Part A1 (f)</t>
  </si>
  <si>
    <t>4.1 Part B d)</t>
  </si>
  <si>
    <t xml:space="preserve">4.3 Part A1 (a) </t>
  </si>
  <si>
    <t>LVIC-AAF</t>
  </si>
  <si>
    <t>4.8 Part B a)</t>
  </si>
  <si>
    <t xml:space="preserve">4.4 Part A1 (a) </t>
  </si>
  <si>
    <t>OFC</t>
  </si>
  <si>
    <t>5.1 Part B a)</t>
  </si>
  <si>
    <t>4.5 Part A1 (a)</t>
  </si>
  <si>
    <t>5.1 Part B b)</t>
  </si>
  <si>
    <t>4.6 Part A1 (a)</t>
  </si>
  <si>
    <t>6.3 Part B a) i)</t>
  </si>
  <si>
    <t>4.7 Part A1 (a)</t>
  </si>
  <si>
    <t>6.3 Part B a) ii)</t>
  </si>
  <si>
    <t xml:space="preserve">5.1 Part A1 (a) </t>
  </si>
  <si>
    <t>WI</t>
  </si>
  <si>
    <t>6.4 Part B a) i)</t>
  </si>
  <si>
    <t>5.1 Part A1 (b)</t>
  </si>
  <si>
    <t>6.4 Part B a) ii)</t>
  </si>
  <si>
    <t>5.1 Part A1 (c)</t>
  </si>
  <si>
    <t>6.4 Part B a) iii)</t>
  </si>
  <si>
    <t xml:space="preserve">5.2 Part A1 (a) </t>
  </si>
  <si>
    <t>LFD</t>
  </si>
  <si>
    <t>6.4 Part B a) iv)</t>
  </si>
  <si>
    <t>5.3 Part A (1) a) (i)</t>
  </si>
  <si>
    <t>WT</t>
  </si>
  <si>
    <t>6.4 Part B b)</t>
  </si>
  <si>
    <t>5.3 Part A (1) a) (i) (AD)</t>
  </si>
  <si>
    <t>6.4 Part B c) i)</t>
  </si>
  <si>
    <t>5.3 Part A (1) a) (ii)</t>
  </si>
  <si>
    <t>6.4 Part B c) ii)</t>
  </si>
  <si>
    <t>5.3 Part A (1) a) (iii)</t>
  </si>
  <si>
    <t>6.4 Part B c) iii)</t>
  </si>
  <si>
    <t>5.3 Part A (1) a) (iv)</t>
  </si>
  <si>
    <t>6.5 Part B a) i)</t>
  </si>
  <si>
    <t>5.3 Part A (1) a) (v)</t>
  </si>
  <si>
    <t>6.5 Part B a) ii)</t>
  </si>
  <si>
    <t>5.3 PartA(1) a)(vi) Disposal</t>
  </si>
  <si>
    <t>6.6 Part B a) i)</t>
  </si>
  <si>
    <t>5.3 PartA(1) a)vi) Recovery</t>
  </si>
  <si>
    <t>6.6 Part B a) ii)</t>
  </si>
  <si>
    <t>5.3 Part A (1) a) (vii) Disposal</t>
  </si>
  <si>
    <t>6.7 Part B a) i)</t>
  </si>
  <si>
    <t>5.3 PartA(1)a)(vii) Recovery</t>
  </si>
  <si>
    <t>6.7 Part B a) ii)</t>
  </si>
  <si>
    <t>5.3 Part A (1) a) (viii)</t>
  </si>
  <si>
    <t>6.7 Part B b)</t>
  </si>
  <si>
    <t>5.3 Part A (1) a) (ix) Disposal</t>
  </si>
  <si>
    <t>6.8 Part B a)</t>
  </si>
  <si>
    <t>5.3 PartA(1)a)(ix) Recovery</t>
  </si>
  <si>
    <t>6.8 Part B b)</t>
  </si>
  <si>
    <t>5.3 Part A (1) a) (x)</t>
  </si>
  <si>
    <t>7 Part B</t>
  </si>
  <si>
    <t>5.3 Part A (1) a) (xi) Disposal</t>
  </si>
  <si>
    <t>Associated process</t>
  </si>
  <si>
    <t>5.3 PartA(1)a)(xi) Recovery</t>
  </si>
  <si>
    <t>5.4 Part A (1) a) (i)</t>
  </si>
  <si>
    <t>5.4 Part A (1) a) (i)(AD)</t>
  </si>
  <si>
    <t>5.4 Part A (1) a) (ii)</t>
  </si>
  <si>
    <t>5.4 Part A (1) a) (iii)</t>
  </si>
  <si>
    <t>5.4 Part A (1) a) (iv)</t>
  </si>
  <si>
    <t>5.4 Part A (1) a) (v)</t>
  </si>
  <si>
    <t>5.4 Part A (1) b) (i)</t>
  </si>
  <si>
    <t>5.4 Part A (1) b) (i)(AD)</t>
  </si>
  <si>
    <t>5.4 Part A (1) b) (ii)</t>
  </si>
  <si>
    <t>5.4 Part A (1) b) (iii)</t>
  </si>
  <si>
    <t>5.4 Part A (1) b) (iv)</t>
  </si>
  <si>
    <t>5.5 Part A (1) a)</t>
  </si>
  <si>
    <t>5.6 Part A (1) a)</t>
  </si>
  <si>
    <t>T</t>
  </si>
  <si>
    <t>5.6 Part A (1) b)</t>
  </si>
  <si>
    <t>5.7 Part A (1) a)</t>
  </si>
  <si>
    <t xml:space="preserve">6.1 Part A (1) a) </t>
  </si>
  <si>
    <t>PP</t>
  </si>
  <si>
    <t xml:space="preserve">6.1 Part A (1) b) </t>
  </si>
  <si>
    <t>6.2 Part A (1) a)</t>
  </si>
  <si>
    <t>6.3 Part A (1) a) (i)</t>
  </si>
  <si>
    <t>6.3 Part A (1) a) (ii)</t>
  </si>
  <si>
    <t>6.4 Part A (1) a)</t>
  </si>
  <si>
    <t>TXT</t>
  </si>
  <si>
    <t>6.8 Part A (1) a)</t>
  </si>
  <si>
    <t>TAN</t>
  </si>
  <si>
    <t>6.8 Part A (1) b)</t>
  </si>
  <si>
    <t>SA</t>
  </si>
  <si>
    <t>6.8 Part A (1) c)</t>
  </si>
  <si>
    <t>6.8 Part A (1) d) i)</t>
  </si>
  <si>
    <t>FDM</t>
  </si>
  <si>
    <t>6.8 Part A (1) d) ii)</t>
  </si>
  <si>
    <t>6.8 Part A (1) d) iii) aa)</t>
  </si>
  <si>
    <t>6.8 Part A (1) d) iii) bb)</t>
  </si>
  <si>
    <t>6.8 Part A (1) e)</t>
  </si>
  <si>
    <t>6.10 Part A (1) a)</t>
  </si>
  <si>
    <t>PCC</t>
  </si>
  <si>
    <t xml:space="preserve">Need to think about how to do paper, total site capacity?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</si>
</sst>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6" formatCode="&quot;£&quot;#,##0;[Red]\-&quot;£&quot;#,##0"/>
    <numFmt numFmtId="44" formatCode="_-&quot;£&quot;* #,##0.00_-;\-&quot;£&quot;* #,##0.00_-;_-&quot;£&quot;* &quot;-&quot;??_-;_-@_-"/>
    <numFmt numFmtId="164" formatCode="0.0"/>
    <numFmt numFmtId="165" formatCode="&quot;£&quot;#,##0"/>
  </numFmts>
  <fonts count="31" x14ac:knownFonts="1">
    <font>
      <sz val="11"/>
      <color theme="1"/>
      <name val="Calibri"/>
      <family val="2"/>
      <scheme val="minor"/>
    </font>
    <font>
      <sz val="14"/>
      <color indexed="12"/>
      <name val="Arial"/>
      <family val="2"/>
    </font>
    <font>
      <b/>
      <sz val="16"/>
      <color indexed="10"/>
      <name val="Arial"/>
      <family val="2"/>
    </font>
    <font>
      <b/>
      <sz val="10"/>
      <name val="Arial"/>
      <family val="2"/>
    </font>
    <font>
      <sz val="8"/>
      <name val="Arial"/>
      <family val="2"/>
    </font>
    <font>
      <b/>
      <sz val="8"/>
      <color indexed="10"/>
      <name val="Arial"/>
      <family val="2"/>
    </font>
    <font>
      <sz val="8"/>
      <color indexed="10"/>
      <name val="Arial"/>
      <family val="2"/>
    </font>
    <font>
      <b/>
      <sz val="12"/>
      <name val="Arial"/>
      <family val="2"/>
    </font>
    <font>
      <sz val="10"/>
      <name val="Arial"/>
      <family val="2"/>
    </font>
    <font>
      <b/>
      <sz val="10"/>
      <color indexed="10"/>
      <name val="Arial"/>
      <family val="2"/>
    </font>
    <font>
      <b/>
      <sz val="10"/>
      <color indexed="42"/>
      <name val="Arial"/>
      <family val="2"/>
    </font>
    <font>
      <sz val="9"/>
      <color indexed="81"/>
      <name val="Tahoma"/>
      <family val="2"/>
    </font>
    <font>
      <u/>
      <sz val="9"/>
      <color indexed="12"/>
      <name val="Arial"/>
      <family val="2"/>
    </font>
    <font>
      <sz val="11"/>
      <color theme="1"/>
      <name val="Calibri"/>
      <family val="2"/>
      <scheme val="minor"/>
    </font>
    <font>
      <b/>
      <sz val="11"/>
      <color theme="1"/>
      <name val="Calibri"/>
      <family val="2"/>
      <scheme val="minor"/>
    </font>
    <font>
      <b/>
      <sz val="11"/>
      <name val="Arial"/>
      <family val="2"/>
    </font>
    <font>
      <sz val="8"/>
      <name val="Calibri"/>
      <family val="2"/>
      <scheme val="minor"/>
    </font>
    <font>
      <sz val="11"/>
      <name val="Calibri"/>
      <family val="2"/>
      <scheme val="minor"/>
    </font>
    <font>
      <sz val="11"/>
      <color rgb="FFFF0000"/>
      <name val="Calibri"/>
      <family val="2"/>
      <scheme val="minor"/>
    </font>
    <font>
      <strike/>
      <sz val="11"/>
      <color theme="1"/>
      <name val="Calibri"/>
      <family val="2"/>
      <scheme val="minor"/>
    </font>
    <font>
      <b/>
      <sz val="9"/>
      <color indexed="81"/>
      <name val="Tahoma"/>
      <family val="2"/>
    </font>
    <font>
      <sz val="10"/>
      <color theme="1"/>
      <name val="Calibri"/>
      <family val="2"/>
      <scheme val="minor"/>
    </font>
    <font>
      <b/>
      <sz val="14"/>
      <color theme="1"/>
      <name val="Calibri"/>
      <family val="2"/>
      <scheme val="minor"/>
    </font>
    <font>
      <b/>
      <sz val="16"/>
      <color theme="1"/>
      <name val="Calibri"/>
      <family val="2"/>
      <scheme val="minor"/>
    </font>
    <font>
      <sz val="12"/>
      <color theme="1"/>
      <name val="Calibri"/>
      <family val="2"/>
      <scheme val="minor"/>
    </font>
    <font>
      <b/>
      <sz val="14"/>
      <color indexed="12"/>
      <name val="Arial"/>
      <family val="2"/>
    </font>
    <font>
      <b/>
      <sz val="12"/>
      <color theme="1"/>
      <name val="Calibri"/>
      <family val="2"/>
      <scheme val="minor"/>
    </font>
    <font>
      <sz val="11"/>
      <color theme="8" tint="0.79998168889431442"/>
      <name val="Calibri"/>
      <family val="2"/>
      <scheme val="minor"/>
    </font>
    <font>
      <b/>
      <sz val="12"/>
      <color theme="1"/>
      <name val="Arial"/>
      <family val="2"/>
    </font>
    <font>
      <sz val="10"/>
      <name val="Calibri"/>
      <family val="2"/>
      <scheme val="minor"/>
    </font>
    <font>
      <sz val="12"/>
      <name val="Arial"/>
      <family val="2"/>
    </font>
  </fonts>
  <fills count="17">
    <fill>
      <patternFill patternType="none"/>
    </fill>
    <fill>
      <patternFill patternType="gray125"/>
    </fill>
    <fill>
      <patternFill patternType="solid">
        <fgColor rgb="FFCCFFCC"/>
        <bgColor indexed="64"/>
      </patternFill>
    </fill>
    <fill>
      <patternFill patternType="solid">
        <fgColor rgb="FF00B0F0"/>
        <bgColor indexed="64"/>
      </patternFill>
    </fill>
    <fill>
      <patternFill patternType="solid">
        <fgColor rgb="FF92D050"/>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9"/>
        <bgColor indexed="64"/>
      </patternFill>
    </fill>
    <fill>
      <patternFill patternType="solid">
        <fgColor rgb="FF00B050"/>
        <bgColor indexed="64"/>
      </patternFill>
    </fill>
    <fill>
      <patternFill patternType="solid">
        <fgColor theme="8" tint="0.79998168889431442"/>
        <bgColor indexed="64"/>
      </patternFill>
    </fill>
    <fill>
      <patternFill patternType="solid">
        <fgColor rgb="FFDFD299"/>
        <bgColor indexed="64"/>
      </patternFill>
    </fill>
    <fill>
      <patternFill patternType="solid">
        <fgColor theme="9" tint="0.59999389629810485"/>
        <bgColor indexed="64"/>
      </patternFill>
    </fill>
    <fill>
      <patternFill patternType="solid">
        <fgColor theme="9" tint="0.79998168889431442"/>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s>
  <cellStyleXfs count="3">
    <xf numFmtId="0" fontId="0" fillId="0" borderId="0"/>
    <xf numFmtId="0" fontId="12" fillId="0" borderId="0" applyNumberFormat="0" applyFill="0" applyBorder="0" applyAlignment="0" applyProtection="0">
      <alignment vertical="top"/>
      <protection locked="0"/>
    </xf>
    <xf numFmtId="44" fontId="13" fillId="0" borderId="0" applyFont="0" applyFill="0" applyBorder="0" applyAlignment="0" applyProtection="0"/>
  </cellStyleXfs>
  <cellXfs count="424">
    <xf numFmtId="0" fontId="0" fillId="0" borderId="0" xfId="0"/>
    <xf numFmtId="0" fontId="0" fillId="0" borderId="0" xfId="0" applyAlignment="1">
      <alignment horizontal="center"/>
    </xf>
    <xf numFmtId="0" fontId="0" fillId="3" borderId="8" xfId="0" applyFill="1" applyBorder="1" applyAlignment="1">
      <alignment horizontal="left" vertical="top" wrapText="1"/>
    </xf>
    <xf numFmtId="0" fontId="0" fillId="6" borderId="8" xfId="0" applyFill="1" applyBorder="1" applyAlignment="1">
      <alignment horizontal="left" vertical="top" wrapText="1"/>
    </xf>
    <xf numFmtId="0" fontId="0" fillId="6" borderId="26" xfId="0" applyFill="1" applyBorder="1" applyAlignment="1">
      <alignment horizontal="left" vertical="top" wrapText="1"/>
    </xf>
    <xf numFmtId="0" fontId="0" fillId="9" borderId="0" xfId="0" applyFill="1" applyAlignment="1">
      <alignment horizontal="center" wrapText="1"/>
    </xf>
    <xf numFmtId="0" fontId="17" fillId="0" borderId="0" xfId="0" applyFont="1"/>
    <xf numFmtId="0" fontId="0" fillId="3" borderId="0" xfId="0" applyFill="1"/>
    <xf numFmtId="0" fontId="0" fillId="0" borderId="14" xfId="0" applyBorder="1"/>
    <xf numFmtId="0" fontId="19" fillId="0" borderId="0" xfId="0" applyFont="1"/>
    <xf numFmtId="0" fontId="0" fillId="4" borderId="0" xfId="0" applyFill="1"/>
    <xf numFmtId="0" fontId="0" fillId="5" borderId="0" xfId="0" applyFill="1"/>
    <xf numFmtId="0" fontId="0" fillId="0" borderId="0" xfId="0" applyAlignment="1">
      <alignment wrapText="1"/>
    </xf>
    <xf numFmtId="3" fontId="0" fillId="0" borderId="0" xfId="0" applyNumberFormat="1"/>
    <xf numFmtId="0" fontId="0" fillId="3" borderId="27" xfId="0" applyFill="1" applyBorder="1" applyAlignment="1">
      <alignment horizontal="left" vertical="top" wrapText="1"/>
    </xf>
    <xf numFmtId="0" fontId="0" fillId="3" borderId="28" xfId="0" applyFill="1" applyBorder="1" applyAlignment="1">
      <alignment horizontal="left" vertical="top" wrapText="1"/>
    </xf>
    <xf numFmtId="0" fontId="0" fillId="6" borderId="27" xfId="0" applyFill="1" applyBorder="1" applyAlignment="1">
      <alignment horizontal="left" vertical="top" wrapText="1"/>
    </xf>
    <xf numFmtId="0" fontId="0" fillId="6" borderId="28" xfId="0" applyFill="1" applyBorder="1" applyAlignment="1">
      <alignment horizontal="left" vertical="top" wrapText="1"/>
    </xf>
    <xf numFmtId="0" fontId="0" fillId="3" borderId="29" xfId="0" applyFill="1" applyBorder="1" applyAlignment="1">
      <alignment horizontal="left" vertical="top" wrapText="1"/>
    </xf>
    <xf numFmtId="0" fontId="0" fillId="6" borderId="29" xfId="0" applyFill="1" applyBorder="1" applyAlignment="1">
      <alignment horizontal="left" vertical="top" wrapText="1"/>
    </xf>
    <xf numFmtId="0" fontId="0" fillId="12" borderId="27" xfId="0" applyFill="1" applyBorder="1" applyAlignment="1">
      <alignment horizontal="left" vertical="top" wrapText="1"/>
    </xf>
    <xf numFmtId="0" fontId="0" fillId="12" borderId="8" xfId="0" applyFill="1" applyBorder="1" applyAlignment="1">
      <alignment horizontal="left" vertical="top" wrapText="1"/>
    </xf>
    <xf numFmtId="0" fontId="0" fillId="6" borderId="30" xfId="0" applyFill="1" applyBorder="1" applyAlignment="1">
      <alignment horizontal="left" vertical="top" wrapText="1"/>
    </xf>
    <xf numFmtId="0" fontId="0" fillId="5" borderId="27" xfId="0" applyFill="1" applyBorder="1" applyAlignment="1">
      <alignment horizontal="left" vertical="top" wrapText="1"/>
    </xf>
    <xf numFmtId="0" fontId="0" fillId="8" borderId="8" xfId="0" applyFill="1" applyBorder="1" applyAlignment="1">
      <alignment horizontal="left" vertical="top" wrapText="1"/>
    </xf>
    <xf numFmtId="0" fontId="0" fillId="0" borderId="14" xfId="0" applyBorder="1" applyAlignment="1">
      <alignment wrapText="1"/>
    </xf>
    <xf numFmtId="0" fontId="0" fillId="5" borderId="14" xfId="0" applyFill="1" applyBorder="1"/>
    <xf numFmtId="0" fontId="0" fillId="8" borderId="28" xfId="0" applyFill="1" applyBorder="1" applyAlignment="1">
      <alignment horizontal="left" vertical="top" wrapText="1"/>
    </xf>
    <xf numFmtId="0" fontId="0" fillId="8" borderId="29" xfId="0" applyFill="1" applyBorder="1" applyAlignment="1">
      <alignment horizontal="left" vertical="top" wrapText="1"/>
    </xf>
    <xf numFmtId="0" fontId="0" fillId="8" borderId="27" xfId="0" applyFill="1" applyBorder="1" applyAlignment="1">
      <alignment horizontal="left" vertical="top" wrapText="1"/>
    </xf>
    <xf numFmtId="0" fontId="12" fillId="3" borderId="0" xfId="1" applyFill="1" applyAlignment="1" applyProtection="1"/>
    <xf numFmtId="0" fontId="0" fillId="13" borderId="2" xfId="0" applyFill="1" applyBorder="1"/>
    <xf numFmtId="0" fontId="17" fillId="13" borderId="2" xfId="0" applyFont="1" applyFill="1" applyBorder="1"/>
    <xf numFmtId="0" fontId="0" fillId="13" borderId="4" xfId="0" applyFill="1" applyBorder="1"/>
    <xf numFmtId="0" fontId="0" fillId="13" borderId="0" xfId="0" applyFill="1"/>
    <xf numFmtId="0" fontId="0" fillId="13" borderId="3" xfId="0" applyFill="1" applyBorder="1"/>
    <xf numFmtId="0" fontId="0" fillId="13" borderId="5" xfId="0" applyFill="1" applyBorder="1"/>
    <xf numFmtId="0" fontId="2" fillId="13" borderId="5" xfId="0" applyFont="1" applyFill="1" applyBorder="1"/>
    <xf numFmtId="0" fontId="3" fillId="13" borderId="4" xfId="0" applyFont="1" applyFill="1" applyBorder="1"/>
    <xf numFmtId="0" fontId="3" fillId="13" borderId="0" xfId="0" applyFont="1" applyFill="1"/>
    <xf numFmtId="0" fontId="0" fillId="13" borderId="18" xfId="0" applyFill="1" applyBorder="1"/>
    <xf numFmtId="0" fontId="0" fillId="13" borderId="19" xfId="0" applyFill="1" applyBorder="1"/>
    <xf numFmtId="0" fontId="17" fillId="13" borderId="19" xfId="0" applyFont="1" applyFill="1" applyBorder="1"/>
    <xf numFmtId="0" fontId="0" fillId="13" borderId="20" xfId="0" applyFill="1" applyBorder="1"/>
    <xf numFmtId="0" fontId="2" fillId="13" borderId="0" xfId="0" applyFont="1" applyFill="1"/>
    <xf numFmtId="0" fontId="4" fillId="13" borderId="0" xfId="0" applyFont="1" applyFill="1" applyAlignment="1">
      <alignment horizontal="left" vertical="center" wrapText="1"/>
    </xf>
    <xf numFmtId="0" fontId="3" fillId="5" borderId="9"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17" fillId="13" borderId="0" xfId="0" applyFont="1" applyFill="1"/>
    <xf numFmtId="0" fontId="2" fillId="13" borderId="0" xfId="0" applyFont="1" applyFill="1" applyAlignment="1">
      <alignment wrapText="1"/>
    </xf>
    <xf numFmtId="0" fontId="5" fillId="13" borderId="0" xfId="0" applyFont="1" applyFill="1" applyAlignment="1">
      <alignment vertical="center" wrapText="1"/>
    </xf>
    <xf numFmtId="0" fontId="6" fillId="13" borderId="0" xfId="0" applyFont="1" applyFill="1" applyAlignment="1">
      <alignment horizontal="center" vertical="center" wrapText="1"/>
    </xf>
    <xf numFmtId="0" fontId="3" fillId="0" borderId="0" xfId="0" applyFont="1"/>
    <xf numFmtId="0" fontId="3" fillId="0" borderId="0" xfId="0" applyFont="1" applyAlignment="1">
      <alignment horizontal="left" vertical="top" wrapText="1"/>
    </xf>
    <xf numFmtId="0" fontId="0" fillId="13" borderId="19" xfId="0" applyFill="1" applyBorder="1" applyAlignment="1">
      <alignment horizontal="center"/>
    </xf>
    <xf numFmtId="0" fontId="0" fillId="13" borderId="5" xfId="0" applyFill="1" applyBorder="1" applyProtection="1">
      <protection hidden="1"/>
    </xf>
    <xf numFmtId="0" fontId="3" fillId="13" borderId="19" xfId="0" applyFont="1" applyFill="1" applyBorder="1" applyAlignment="1">
      <alignment horizontal="center"/>
    </xf>
    <xf numFmtId="0" fontId="8" fillId="13" borderId="0" xfId="0" applyFont="1" applyFill="1" applyAlignment="1">
      <alignment horizontal="center"/>
    </xf>
    <xf numFmtId="0" fontId="0" fillId="13" borderId="0" xfId="0" applyFill="1" applyAlignment="1">
      <alignment horizontal="left"/>
    </xf>
    <xf numFmtId="0" fontId="0" fillId="13" borderId="0" xfId="0" applyFill="1" applyProtection="1">
      <protection locked="0"/>
    </xf>
    <xf numFmtId="0" fontId="0" fillId="13" borderId="0" xfId="0" applyFill="1" applyAlignment="1">
      <alignment vertical="center" wrapText="1"/>
    </xf>
    <xf numFmtId="0" fontId="0" fillId="3" borderId="0" xfId="0" applyFill="1" applyAlignment="1">
      <alignment wrapText="1"/>
    </xf>
    <xf numFmtId="165" fontId="0" fillId="14" borderId="0" xfId="0" applyNumberFormat="1" applyFill="1"/>
    <xf numFmtId="0" fontId="0" fillId="2" borderId="0" xfId="0" applyFill="1"/>
    <xf numFmtId="0" fontId="18" fillId="2" borderId="0" xfId="0" applyFont="1" applyFill="1"/>
    <xf numFmtId="0" fontId="0" fillId="13" borderId="4" xfId="0" applyFill="1" applyBorder="1" applyAlignment="1">
      <alignment wrapText="1"/>
    </xf>
    <xf numFmtId="0" fontId="3" fillId="13" borderId="7" xfId="0" applyFont="1" applyFill="1" applyBorder="1" applyAlignment="1">
      <alignment vertical="center" wrapText="1"/>
    </xf>
    <xf numFmtId="0" fontId="3" fillId="13" borderId="27" xfId="0" applyFont="1" applyFill="1" applyBorder="1" applyAlignment="1">
      <alignment vertical="center" wrapText="1"/>
    </xf>
    <xf numFmtId="0" fontId="21" fillId="6" borderId="0" xfId="0" applyFont="1" applyFill="1" applyAlignment="1">
      <alignment horizontal="center" wrapText="1"/>
    </xf>
    <xf numFmtId="0" fontId="0" fillId="13" borderId="4" xfId="0" applyFill="1" applyBorder="1" applyAlignment="1">
      <alignment horizontal="center" vertical="top" wrapText="1"/>
    </xf>
    <xf numFmtId="0" fontId="0" fillId="9" borderId="0" xfId="0" applyFill="1" applyAlignment="1">
      <alignment horizontal="center"/>
    </xf>
    <xf numFmtId="0" fontId="0" fillId="15" borderId="0" xfId="0" applyFill="1"/>
    <xf numFmtId="0" fontId="0" fillId="15" borderId="21" xfId="0" applyFill="1" applyBorder="1"/>
    <xf numFmtId="0" fontId="0" fillId="15" borderId="0" xfId="0" applyFill="1" applyAlignment="1">
      <alignment wrapText="1"/>
    </xf>
    <xf numFmtId="0" fontId="0" fillId="15" borderId="0" xfId="0" applyFill="1" applyAlignment="1">
      <alignment horizontal="center" vertical="top" wrapText="1"/>
    </xf>
    <xf numFmtId="0" fontId="0" fillId="15" borderId="19" xfId="0" applyFill="1" applyBorder="1"/>
    <xf numFmtId="0" fontId="3" fillId="14" borderId="9" xfId="0" applyFont="1" applyFill="1" applyBorder="1" applyAlignment="1">
      <alignment horizontal="center" vertical="center" wrapText="1"/>
    </xf>
    <xf numFmtId="0" fontId="3" fillId="13" borderId="0" xfId="0" applyFont="1" applyFill="1" applyAlignment="1">
      <alignment horizontal="center"/>
    </xf>
    <xf numFmtId="0" fontId="0" fillId="9" borderId="0" xfId="0" applyFill="1"/>
    <xf numFmtId="165" fontId="0" fillId="9" borderId="0" xfId="0" applyNumberFormat="1" applyFill="1"/>
    <xf numFmtId="0" fontId="28" fillId="13" borderId="0" xfId="0" applyFont="1" applyFill="1" applyAlignment="1">
      <alignment horizontal="center" vertical="center"/>
    </xf>
    <xf numFmtId="165" fontId="0" fillId="9" borderId="0" xfId="0" applyNumberFormat="1" applyFill="1" applyAlignment="1">
      <alignment horizontal="center"/>
    </xf>
    <xf numFmtId="165" fontId="0" fillId="9" borderId="0" xfId="0" applyNumberFormat="1" applyFill="1" applyAlignment="1">
      <alignment wrapText="1"/>
    </xf>
    <xf numFmtId="1" fontId="0" fillId="14" borderId="0" xfId="0" applyNumberFormat="1" applyFill="1"/>
    <xf numFmtId="0" fontId="0" fillId="2" borderId="19" xfId="0" applyFill="1" applyBorder="1"/>
    <xf numFmtId="0" fontId="22" fillId="13" borderId="19" xfId="0" applyFont="1" applyFill="1" applyBorder="1"/>
    <xf numFmtId="0" fontId="0" fillId="13" borderId="0" xfId="0" applyFill="1" applyAlignment="1">
      <alignment horizontal="center"/>
    </xf>
    <xf numFmtId="0" fontId="5" fillId="13" borderId="0" xfId="0" applyFont="1" applyFill="1" applyAlignment="1">
      <alignment horizontal="center" vertical="center" wrapText="1"/>
    </xf>
    <xf numFmtId="0" fontId="0" fillId="5" borderId="8" xfId="0" applyFill="1" applyBorder="1" applyAlignment="1" applyProtection="1">
      <alignment horizontal="left" vertical="top" wrapText="1"/>
      <protection locked="0"/>
    </xf>
    <xf numFmtId="0" fontId="0" fillId="5" borderId="25" xfId="0" applyFill="1" applyBorder="1" applyAlignment="1" applyProtection="1">
      <alignment horizontal="left" vertical="top" wrapText="1"/>
      <protection locked="0"/>
    </xf>
    <xf numFmtId="0" fontId="0" fillId="5" borderId="8" xfId="0" applyFill="1" applyBorder="1" applyAlignment="1" applyProtection="1">
      <alignment horizontal="center" vertical="top" wrapText="1"/>
      <protection locked="0"/>
    </xf>
    <xf numFmtId="0" fontId="0" fillId="5" borderId="25" xfId="0" applyFill="1" applyBorder="1" applyAlignment="1" applyProtection="1">
      <alignment horizontal="center" vertical="top" wrapText="1"/>
      <protection locked="0"/>
    </xf>
    <xf numFmtId="0" fontId="23" fillId="13" borderId="22" xfId="0" applyFont="1" applyFill="1" applyBorder="1" applyAlignment="1">
      <alignment vertical="center"/>
    </xf>
    <xf numFmtId="0" fontId="23" fillId="13" borderId="0" xfId="0" applyFont="1" applyFill="1" applyAlignment="1">
      <alignment vertical="center"/>
    </xf>
    <xf numFmtId="0" fontId="7" fillId="9" borderId="22" xfId="0" applyFont="1" applyFill="1" applyBorder="1" applyAlignment="1">
      <alignment vertical="center"/>
    </xf>
    <xf numFmtId="0" fontId="7" fillId="9" borderId="0" xfId="0" applyFont="1" applyFill="1" applyAlignment="1">
      <alignment vertical="center"/>
    </xf>
    <xf numFmtId="0" fontId="7" fillId="13" borderId="0" xfId="0" applyFont="1" applyFill="1" applyAlignment="1">
      <alignment vertical="center"/>
    </xf>
    <xf numFmtId="0" fontId="7" fillId="13" borderId="0" xfId="0" applyFont="1" applyFill="1" applyAlignment="1">
      <alignment horizontal="center" vertical="center"/>
    </xf>
    <xf numFmtId="0" fontId="0" fillId="13" borderId="1" xfId="0" applyFill="1" applyBorder="1"/>
    <xf numFmtId="0" fontId="0" fillId="13" borderId="2" xfId="0" applyFill="1" applyBorder="1" applyAlignment="1">
      <alignment horizontal="center"/>
    </xf>
    <xf numFmtId="0" fontId="21" fillId="13" borderId="0" xfId="0" applyFont="1" applyFill="1" applyAlignment="1">
      <alignment horizontal="center" wrapText="1"/>
    </xf>
    <xf numFmtId="0" fontId="0" fillId="13" borderId="0" xfId="0" applyFill="1" applyAlignment="1">
      <alignment wrapText="1"/>
    </xf>
    <xf numFmtId="0" fontId="3" fillId="13" borderId="8" xfId="0" applyFont="1" applyFill="1" applyBorder="1"/>
    <xf numFmtId="0" fontId="8" fillId="14" borderId="8" xfId="0" applyFont="1" applyFill="1" applyBorder="1" applyAlignment="1">
      <alignment horizontal="center"/>
    </xf>
    <xf numFmtId="0" fontId="9" fillId="13" borderId="0" xfId="0" applyFont="1" applyFill="1" applyAlignment="1">
      <alignment horizontal="center"/>
    </xf>
    <xf numFmtId="0" fontId="10" fillId="13" borderId="8" xfId="0" applyFont="1" applyFill="1" applyBorder="1" applyAlignment="1">
      <alignment horizontal="center" vertical="center" wrapText="1"/>
    </xf>
    <xf numFmtId="0" fontId="3" fillId="13" borderId="8"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8" xfId="0" applyFont="1" applyFill="1" applyBorder="1" applyAlignment="1">
      <alignment vertical="center"/>
    </xf>
    <xf numFmtId="0" fontId="14" fillId="13" borderId="8" xfId="0" applyFont="1" applyFill="1" applyBorder="1" applyAlignment="1">
      <alignment vertical="center" wrapText="1"/>
    </xf>
    <xf numFmtId="0" fontId="3" fillId="13" borderId="0" xfId="0" applyFont="1" applyFill="1" applyAlignment="1">
      <alignment horizontal="center" vertical="center" wrapText="1"/>
    </xf>
    <xf numFmtId="0" fontId="3" fillId="13" borderId="24" xfId="0" applyFont="1" applyFill="1" applyBorder="1" applyAlignment="1">
      <alignment horizontal="left" vertical="top" wrapText="1"/>
    </xf>
    <xf numFmtId="0" fontId="3" fillId="13" borderId="7" xfId="0" applyFont="1" applyFill="1" applyBorder="1" applyAlignment="1">
      <alignment horizontal="center"/>
    </xf>
    <xf numFmtId="0" fontId="0" fillId="14" borderId="8" xfId="0" applyFill="1" applyBorder="1" applyAlignment="1">
      <alignment horizontal="center" vertical="top" wrapText="1"/>
    </xf>
    <xf numFmtId="0" fontId="0" fillId="13" borderId="0" xfId="0" applyFill="1" applyAlignment="1">
      <alignment horizontal="center" vertical="top" wrapText="1"/>
    </xf>
    <xf numFmtId="0" fontId="0" fillId="14" borderId="0" xfId="0" applyFill="1" applyAlignment="1">
      <alignment horizontal="center" vertical="center"/>
    </xf>
    <xf numFmtId="0" fontId="0" fillId="13" borderId="0" xfId="0" applyFill="1" applyAlignment="1">
      <alignment horizontal="center" vertical="center"/>
    </xf>
    <xf numFmtId="0" fontId="9" fillId="13" borderId="0" xfId="0" applyFont="1" applyFill="1" applyAlignment="1">
      <alignment horizontal="center" vertical="top"/>
    </xf>
    <xf numFmtId="0" fontId="3" fillId="13" borderId="0" xfId="0" applyFont="1" applyFill="1" applyAlignment="1">
      <alignment horizontal="left"/>
    </xf>
    <xf numFmtId="0" fontId="8" fillId="13" borderId="0" xfId="0" applyFont="1" applyFill="1" applyAlignment="1">
      <alignment horizontal="left"/>
    </xf>
    <xf numFmtId="0" fontId="8" fillId="13" borderId="0" xfId="0" applyFont="1" applyFill="1"/>
    <xf numFmtId="0" fontId="12" fillId="4" borderId="8" xfId="1" applyFill="1" applyBorder="1" applyAlignment="1" applyProtection="1">
      <alignment horizontal="left" vertical="center" wrapText="1"/>
    </xf>
    <xf numFmtId="0" fontId="8" fillId="3" borderId="8" xfId="0" applyFont="1"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25" xfId="0" applyFill="1" applyBorder="1" applyAlignment="1" applyProtection="1">
      <alignment horizontal="left" vertical="top" wrapText="1"/>
      <protection locked="0"/>
    </xf>
    <xf numFmtId="0" fontId="0" fillId="3" borderId="7" xfId="0" applyFill="1" applyBorder="1" applyAlignment="1" applyProtection="1">
      <alignment horizontal="left"/>
      <protection locked="0"/>
    </xf>
    <xf numFmtId="0" fontId="0" fillId="3" borderId="7" xfId="0" applyFill="1" applyBorder="1" applyAlignment="1" applyProtection="1">
      <alignment horizontal="center"/>
      <protection locked="0"/>
    </xf>
    <xf numFmtId="0" fontId="0" fillId="3" borderId="17" xfId="0" applyFill="1" applyBorder="1" applyAlignment="1" applyProtection="1">
      <alignment horizontal="center"/>
      <protection locked="0"/>
    </xf>
    <xf numFmtId="0" fontId="24" fillId="3" borderId="8" xfId="0" applyFont="1" applyFill="1" applyBorder="1" applyAlignment="1" applyProtection="1">
      <alignment horizontal="center" vertical="center"/>
      <protection locked="0"/>
    </xf>
    <xf numFmtId="0" fontId="0" fillId="2" borderId="2" xfId="0" applyFill="1" applyBorder="1"/>
    <xf numFmtId="0" fontId="18" fillId="2" borderId="2" xfId="0" applyFont="1" applyFill="1" applyBorder="1"/>
    <xf numFmtId="0" fontId="22" fillId="13" borderId="0" xfId="0" applyFont="1" applyFill="1" applyAlignment="1">
      <alignment horizontal="center"/>
    </xf>
    <xf numFmtId="0" fontId="17" fillId="2" borderId="0" xfId="0" applyFont="1" applyFill="1"/>
    <xf numFmtId="0" fontId="0" fillId="13" borderId="4" xfId="0" applyFill="1" applyBorder="1" applyAlignment="1">
      <alignment horizontal="center" wrapText="1"/>
    </xf>
    <xf numFmtId="0" fontId="0" fillId="14" borderId="6" xfId="0" applyFill="1" applyBorder="1" applyAlignment="1">
      <alignment wrapText="1"/>
    </xf>
    <xf numFmtId="0" fontId="0" fillId="13" borderId="11" xfId="0" applyFill="1" applyBorder="1"/>
    <xf numFmtId="0" fontId="0" fillId="2" borderId="11" xfId="0" applyFill="1" applyBorder="1"/>
    <xf numFmtId="0" fontId="0" fillId="14" borderId="7" xfId="0" applyFill="1" applyBorder="1" applyAlignment="1">
      <alignment horizontal="center"/>
    </xf>
    <xf numFmtId="0" fontId="18" fillId="13" borderId="0" xfId="0" applyFont="1" applyFill="1"/>
    <xf numFmtId="0" fontId="17" fillId="2" borderId="0" xfId="0" applyFont="1" applyFill="1" applyAlignment="1">
      <alignment vertical="center"/>
    </xf>
    <xf numFmtId="0" fontId="0" fillId="13" borderId="16" xfId="0" applyFill="1" applyBorder="1"/>
    <xf numFmtId="0" fontId="19" fillId="2" borderId="16" xfId="0" applyFont="1" applyFill="1" applyBorder="1"/>
    <xf numFmtId="0" fontId="0" fillId="2" borderId="0" xfId="0" applyFill="1" applyAlignment="1">
      <alignment wrapText="1"/>
    </xf>
    <xf numFmtId="0" fontId="0" fillId="13" borderId="4" xfId="0" applyFill="1" applyBorder="1" applyAlignment="1">
      <alignment horizontal="center" vertical="center" wrapText="1"/>
    </xf>
    <xf numFmtId="0" fontId="14" fillId="13" borderId="0" xfId="0" applyFont="1" applyFill="1" applyAlignment="1">
      <alignment vertical="center" wrapText="1"/>
    </xf>
    <xf numFmtId="0" fontId="14" fillId="13" borderId="0" xfId="0" applyFont="1" applyFill="1" applyAlignment="1">
      <alignment horizontal="center" vertical="center" wrapText="1"/>
    </xf>
    <xf numFmtId="0" fontId="0" fillId="13" borderId="16" xfId="0" applyFill="1" applyBorder="1" applyAlignment="1">
      <alignment wrapText="1"/>
    </xf>
    <xf numFmtId="0" fontId="0" fillId="13" borderId="16" xfId="0" applyFill="1" applyBorder="1" applyAlignment="1">
      <alignment horizontal="center"/>
    </xf>
    <xf numFmtId="0" fontId="0" fillId="14" borderId="17" xfId="0" applyFill="1" applyBorder="1" applyAlignment="1">
      <alignment horizontal="center"/>
    </xf>
    <xf numFmtId="0" fontId="0" fillId="9" borderId="6" xfId="0" applyFill="1" applyBorder="1" applyAlignment="1">
      <alignment horizontal="left" vertical="center" wrapText="1"/>
    </xf>
    <xf numFmtId="0" fontId="18" fillId="13" borderId="0" xfId="0" applyFont="1" applyFill="1" applyAlignment="1">
      <alignment wrapText="1"/>
    </xf>
    <xf numFmtId="0" fontId="14" fillId="9" borderId="8" xfId="0" applyFont="1" applyFill="1" applyBorder="1" applyAlignment="1">
      <alignment horizontal="center" vertical="center" wrapText="1"/>
    </xf>
    <xf numFmtId="0" fontId="0" fillId="2" borderId="16" xfId="0" applyFill="1" applyBorder="1"/>
    <xf numFmtId="0" fontId="19" fillId="13" borderId="0" xfId="0" applyFont="1" applyFill="1"/>
    <xf numFmtId="0" fontId="18" fillId="2" borderId="11" xfId="0" applyFont="1" applyFill="1" applyBorder="1"/>
    <xf numFmtId="0" fontId="18" fillId="2" borderId="16" xfId="0" applyFont="1" applyFill="1" applyBorder="1"/>
    <xf numFmtId="0" fontId="0" fillId="9" borderId="0" xfId="0" applyFill="1" applyAlignment="1">
      <alignment horizontal="right"/>
    </xf>
    <xf numFmtId="0" fontId="0" fillId="9" borderId="0" xfId="0" applyFill="1" applyAlignment="1">
      <alignment horizontal="right" wrapText="1"/>
    </xf>
    <xf numFmtId="0" fontId="18" fillId="2" borderId="0" xfId="0" applyFont="1" applyFill="1" applyAlignment="1">
      <alignment horizontal="center" wrapText="1"/>
    </xf>
    <xf numFmtId="6" fontId="18" fillId="2" borderId="0" xfId="0" applyNumberFormat="1" applyFont="1" applyFill="1"/>
    <xf numFmtId="0" fontId="0" fillId="13" borderId="11" xfId="0" applyFill="1" applyBorder="1" applyAlignment="1">
      <alignment wrapText="1"/>
    </xf>
    <xf numFmtId="0" fontId="18" fillId="13" borderId="11" xfId="0" applyFont="1" applyFill="1" applyBorder="1"/>
    <xf numFmtId="0" fontId="0" fillId="13" borderId="11" xfId="0" applyFill="1" applyBorder="1" applyAlignment="1">
      <alignment horizontal="center"/>
    </xf>
    <xf numFmtId="0" fontId="0" fillId="13" borderId="4" xfId="0" applyFill="1" applyBorder="1" applyAlignment="1">
      <alignment vertical="center" wrapText="1"/>
    </xf>
    <xf numFmtId="0" fontId="18" fillId="13" borderId="0" xfId="0" applyFont="1" applyFill="1" applyAlignment="1">
      <alignment horizontal="center" vertical="center" wrapText="1"/>
    </xf>
    <xf numFmtId="0" fontId="19" fillId="2" borderId="0" xfId="0" applyFont="1" applyFill="1"/>
    <xf numFmtId="0" fontId="0" fillId="13" borderId="0" xfId="0" applyFill="1" applyAlignment="1">
      <alignment horizontal="center" vertical="center" wrapText="1"/>
    </xf>
    <xf numFmtId="0" fontId="0" fillId="2" borderId="9" xfId="0" applyFill="1" applyBorder="1"/>
    <xf numFmtId="0" fontId="14" fillId="9" borderId="7" xfId="0" applyFont="1" applyFill="1" applyBorder="1" applyAlignment="1">
      <alignment horizontal="center"/>
    </xf>
    <xf numFmtId="165" fontId="14" fillId="13" borderId="0" xfId="0" applyNumberFormat="1" applyFont="1" applyFill="1"/>
    <xf numFmtId="0" fontId="0" fillId="13" borderId="0" xfId="0" applyFill="1" applyAlignment="1">
      <alignment horizontal="center" wrapText="1"/>
    </xf>
    <xf numFmtId="0" fontId="19" fillId="13" borderId="5" xfId="0" applyFont="1" applyFill="1" applyBorder="1"/>
    <xf numFmtId="0" fontId="0" fillId="2" borderId="16" xfId="0" applyFill="1" applyBorder="1" applyAlignment="1">
      <alignment horizontal="center" vertical="center"/>
    </xf>
    <xf numFmtId="0" fontId="14" fillId="14" borderId="27" xfId="0" applyFont="1" applyFill="1" applyBorder="1" applyAlignment="1">
      <alignment horizontal="center" vertical="center"/>
    </xf>
    <xf numFmtId="0" fontId="0" fillId="14" borderId="8" xfId="0" applyFill="1" applyBorder="1" applyAlignment="1">
      <alignment vertical="center" wrapText="1"/>
    </xf>
    <xf numFmtId="0" fontId="0" fillId="14" borderId="11" xfId="0" applyFill="1" applyBorder="1" applyAlignment="1">
      <alignment horizontal="center" vertical="center"/>
    </xf>
    <xf numFmtId="6" fontId="0" fillId="14" borderId="7" xfId="0" applyNumberFormat="1" applyFill="1" applyBorder="1"/>
    <xf numFmtId="165" fontId="0" fillId="14" borderId="25" xfId="0" applyNumberFormat="1" applyFill="1" applyBorder="1"/>
    <xf numFmtId="5" fontId="0" fillId="13" borderId="0" xfId="2" applyNumberFormat="1" applyFont="1" applyFill="1" applyBorder="1" applyAlignment="1" applyProtection="1">
      <alignment wrapText="1"/>
    </xf>
    <xf numFmtId="0" fontId="14" fillId="14" borderId="8" xfId="0" applyFont="1" applyFill="1" applyBorder="1" applyAlignment="1">
      <alignment horizontal="center" vertical="center"/>
    </xf>
    <xf numFmtId="0" fontId="0" fillId="14" borderId="6" xfId="0" applyFill="1" applyBorder="1" applyAlignment="1">
      <alignment horizontal="center" vertical="center"/>
    </xf>
    <xf numFmtId="165" fontId="0" fillId="14" borderId="8" xfId="0" applyNumberFormat="1" applyFill="1" applyBorder="1"/>
    <xf numFmtId="0" fontId="0" fillId="14" borderId="15" xfId="0" applyFill="1" applyBorder="1" applyAlignment="1">
      <alignment horizontal="center" vertical="center"/>
    </xf>
    <xf numFmtId="6" fontId="0" fillId="14" borderId="17" xfId="0" applyNumberFormat="1" applyFill="1" applyBorder="1"/>
    <xf numFmtId="165" fontId="0" fillId="14" borderId="27" xfId="0" applyNumberFormat="1" applyFill="1" applyBorder="1"/>
    <xf numFmtId="0" fontId="14" fillId="13" borderId="0" xfId="0" applyFont="1" applyFill="1" applyAlignment="1">
      <alignment horizontal="center" vertical="center"/>
    </xf>
    <xf numFmtId="165" fontId="14" fillId="11" borderId="8" xfId="0" applyNumberFormat="1" applyFont="1" applyFill="1" applyBorder="1" applyAlignment="1">
      <alignment vertical="center"/>
    </xf>
    <xf numFmtId="0" fontId="0" fillId="13" borderId="8" xfId="0" applyFill="1" applyBorder="1" applyAlignment="1">
      <alignment wrapText="1"/>
    </xf>
    <xf numFmtId="0" fontId="0" fillId="6" borderId="0" xfId="0" applyFill="1"/>
    <xf numFmtId="0" fontId="24" fillId="9" borderId="8" xfId="0" applyFont="1" applyFill="1" applyBorder="1" applyAlignment="1">
      <alignment vertical="center" wrapText="1"/>
    </xf>
    <xf numFmtId="0" fontId="0" fillId="13" borderId="0" xfId="0" applyFill="1" applyAlignment="1">
      <alignment horizontal="left" wrapText="1"/>
    </xf>
    <xf numFmtId="165" fontId="0" fillId="14" borderId="8" xfId="0" applyNumberFormat="1" applyFill="1" applyBorder="1" applyAlignment="1">
      <alignment horizontal="center" vertical="center"/>
    </xf>
    <xf numFmtId="165" fontId="0" fillId="8" borderId="8" xfId="0" applyNumberFormat="1" applyFill="1" applyBorder="1" applyAlignment="1">
      <alignment horizontal="center" vertical="center" wrapText="1"/>
    </xf>
    <xf numFmtId="0" fontId="0" fillId="2" borderId="15" xfId="0" applyFill="1" applyBorder="1"/>
    <xf numFmtId="0" fontId="0" fillId="2" borderId="17" xfId="0" applyFill="1" applyBorder="1"/>
    <xf numFmtId="165" fontId="14" fillId="11" borderId="0" xfId="0" applyNumberFormat="1" applyFont="1" applyFill="1" applyAlignment="1">
      <alignment horizontal="center"/>
    </xf>
    <xf numFmtId="165" fontId="14" fillId="13" borderId="0" xfId="0" applyNumberFormat="1" applyFont="1" applyFill="1" applyAlignment="1">
      <alignment horizontal="center"/>
    </xf>
    <xf numFmtId="0" fontId="0" fillId="9" borderId="8" xfId="0" applyFill="1" applyBorder="1" applyAlignment="1">
      <alignment wrapText="1"/>
    </xf>
    <xf numFmtId="165" fontId="0" fillId="2" borderId="8" xfId="0" applyNumberFormat="1" applyFill="1" applyBorder="1" applyAlignment="1">
      <alignment horizontal="center"/>
    </xf>
    <xf numFmtId="165" fontId="22" fillId="11" borderId="0" xfId="0" applyNumberFormat="1" applyFont="1" applyFill="1"/>
    <xf numFmtId="0" fontId="22" fillId="13" borderId="0" xfId="0" applyFont="1" applyFill="1"/>
    <xf numFmtId="1" fontId="0" fillId="13" borderId="0" xfId="0" applyNumberFormat="1" applyFill="1"/>
    <xf numFmtId="0" fontId="14" fillId="13" borderId="0" xfId="0" applyFont="1" applyFill="1"/>
    <xf numFmtId="0" fontId="0" fillId="9" borderId="6" xfId="0" applyFill="1" applyBorder="1" applyAlignment="1">
      <alignment vertical="center" wrapText="1"/>
    </xf>
    <xf numFmtId="0" fontId="0" fillId="9" borderId="15" xfId="0" applyFill="1" applyBorder="1" applyAlignment="1">
      <alignment vertical="center" wrapText="1"/>
    </xf>
    <xf numFmtId="0" fontId="27" fillId="13" borderId="0" xfId="0" applyFont="1" applyFill="1"/>
    <xf numFmtId="0" fontId="17" fillId="7" borderId="0" xfId="0" applyFont="1" applyFill="1"/>
    <xf numFmtId="0" fontId="14" fillId="9" borderId="0" xfId="0" applyFont="1" applyFill="1"/>
    <xf numFmtId="0" fontId="14" fillId="9" borderId="27" xfId="0" applyFont="1" applyFill="1" applyBorder="1" applyAlignment="1">
      <alignment horizontal="center" vertical="center" wrapText="1"/>
    </xf>
    <xf numFmtId="0" fontId="7" fillId="13" borderId="0" xfId="0" applyFont="1" applyFill="1" applyAlignment="1">
      <alignment vertical="center" wrapText="1"/>
    </xf>
    <xf numFmtId="0" fontId="3" fillId="13" borderId="17" xfId="0" applyFont="1" applyFill="1" applyBorder="1" applyAlignment="1">
      <alignment horizontal="center" vertical="center" wrapText="1"/>
    </xf>
    <xf numFmtId="0" fontId="3" fillId="13" borderId="12" xfId="0" applyFont="1" applyFill="1" applyBorder="1" applyAlignment="1">
      <alignment horizontal="center" vertical="center" wrapText="1"/>
    </xf>
    <xf numFmtId="0" fontId="0" fillId="13" borderId="14" xfId="0" applyFill="1" applyBorder="1" applyAlignment="1">
      <alignment wrapText="1"/>
    </xf>
    <xf numFmtId="0" fontId="3" fillId="13" borderId="33" xfId="0" applyFont="1" applyFill="1" applyBorder="1" applyAlignment="1">
      <alignment horizontal="center" vertical="center" wrapText="1"/>
    </xf>
    <xf numFmtId="0" fontId="21" fillId="6" borderId="32" xfId="0" applyFont="1" applyFill="1" applyBorder="1" applyAlignment="1">
      <alignment horizontal="center" wrapText="1"/>
    </xf>
    <xf numFmtId="0" fontId="3" fillId="13" borderId="35" xfId="0" applyFont="1" applyFill="1" applyBorder="1" applyAlignment="1">
      <alignment horizontal="center"/>
    </xf>
    <xf numFmtId="0" fontId="3" fillId="13" borderId="31" xfId="0" applyFont="1" applyFill="1" applyBorder="1" applyAlignment="1">
      <alignment horizontal="center"/>
    </xf>
    <xf numFmtId="0" fontId="24" fillId="3" borderId="34" xfId="0" applyFont="1" applyFill="1" applyBorder="1" applyAlignment="1" applyProtection="1">
      <alignment wrapText="1"/>
      <protection locked="0"/>
    </xf>
    <xf numFmtId="0" fontId="0" fillId="5" borderId="6" xfId="0" applyFill="1" applyBorder="1" applyAlignment="1" applyProtection="1">
      <alignment horizontal="left" wrapText="1"/>
      <protection locked="0"/>
    </xf>
    <xf numFmtId="0" fontId="0" fillId="0" borderId="0" xfId="0" applyAlignment="1" applyProtection="1">
      <alignment wrapText="1"/>
      <protection locked="0"/>
    </xf>
    <xf numFmtId="0" fontId="3" fillId="13" borderId="0" xfId="0" applyFont="1" applyFill="1" applyAlignment="1">
      <alignment vertical="center"/>
    </xf>
    <xf numFmtId="165" fontId="0" fillId="14" borderId="19" xfId="0" applyNumberFormat="1" applyFill="1" applyBorder="1" applyAlignment="1">
      <alignment vertical="center"/>
    </xf>
    <xf numFmtId="0" fontId="0" fillId="14" borderId="11" xfId="0" applyFill="1" applyBorder="1" applyAlignment="1">
      <alignment vertical="center" wrapText="1"/>
    </xf>
    <xf numFmtId="0" fontId="0" fillId="14" borderId="0" xfId="0" applyFill="1" applyAlignment="1">
      <alignment vertical="center" wrapText="1"/>
    </xf>
    <xf numFmtId="0" fontId="14" fillId="14" borderId="8" xfId="0" applyFont="1" applyFill="1" applyBorder="1" applyAlignment="1">
      <alignment horizontal="center" vertical="center" wrapText="1"/>
    </xf>
    <xf numFmtId="0" fontId="0" fillId="14" borderId="10" xfId="0" applyFill="1" applyBorder="1" applyAlignment="1">
      <alignment vertical="center" wrapText="1"/>
    </xf>
    <xf numFmtId="0" fontId="0" fillId="13" borderId="11" xfId="0" applyFill="1" applyBorder="1" applyAlignment="1">
      <alignment vertical="center" wrapText="1"/>
    </xf>
    <xf numFmtId="0" fontId="0" fillId="13" borderId="12" xfId="0" applyFill="1" applyBorder="1" applyAlignment="1" applyProtection="1">
      <alignment horizontal="center"/>
      <protection locked="0"/>
    </xf>
    <xf numFmtId="0" fontId="0" fillId="14" borderId="6" xfId="0" applyFill="1" applyBorder="1" applyAlignment="1">
      <alignment vertical="center" wrapText="1"/>
    </xf>
    <xf numFmtId="0" fontId="0" fillId="14" borderId="15" xfId="0" applyFill="1" applyBorder="1" applyAlignment="1">
      <alignment vertical="center" wrapText="1"/>
    </xf>
    <xf numFmtId="0" fontId="14" fillId="14" borderId="7" xfId="0" applyFont="1" applyFill="1" applyBorder="1" applyAlignment="1">
      <alignment horizontal="center" wrapText="1"/>
    </xf>
    <xf numFmtId="0" fontId="14" fillId="14" borderId="7" xfId="0" applyFont="1" applyFill="1" applyBorder="1" applyAlignment="1">
      <alignment horizontal="center"/>
    </xf>
    <xf numFmtId="0" fontId="0" fillId="14" borderId="7" xfId="0" applyFill="1" applyBorder="1" applyAlignment="1">
      <alignment horizontal="center" vertical="center"/>
    </xf>
    <xf numFmtId="0" fontId="19" fillId="9" borderId="16" xfId="0" applyFont="1" applyFill="1" applyBorder="1"/>
    <xf numFmtId="165" fontId="14" fillId="9" borderId="17" xfId="0" applyNumberFormat="1" applyFont="1" applyFill="1" applyBorder="1"/>
    <xf numFmtId="0" fontId="19" fillId="9" borderId="9" xfId="0" applyFont="1" applyFill="1" applyBorder="1"/>
    <xf numFmtId="6" fontId="0" fillId="9" borderId="8" xfId="0" applyNumberFormat="1" applyFill="1" applyBorder="1"/>
    <xf numFmtId="0" fontId="24" fillId="9" borderId="27" xfId="0" applyFont="1" applyFill="1" applyBorder="1" applyAlignment="1">
      <alignment vertical="center" wrapText="1"/>
    </xf>
    <xf numFmtId="0" fontId="24" fillId="3" borderId="27" xfId="0" applyFont="1" applyFill="1" applyBorder="1" applyAlignment="1" applyProtection="1">
      <alignment horizontal="center" vertical="center"/>
      <protection locked="0"/>
    </xf>
    <xf numFmtId="0" fontId="0" fillId="2" borderId="13" xfId="0" applyFill="1" applyBorder="1"/>
    <xf numFmtId="0" fontId="0" fillId="2" borderId="14" xfId="0" applyFill="1" applyBorder="1"/>
    <xf numFmtId="0" fontId="0" fillId="9" borderId="6" xfId="0" applyFill="1" applyBorder="1"/>
    <xf numFmtId="0" fontId="14" fillId="14" borderId="8" xfId="0" applyFont="1" applyFill="1" applyBorder="1" applyAlignment="1">
      <alignment wrapText="1"/>
    </xf>
    <xf numFmtId="0" fontId="14" fillId="8" borderId="8" xfId="0" applyFont="1" applyFill="1" applyBorder="1" applyAlignment="1">
      <alignment wrapText="1"/>
    </xf>
    <xf numFmtId="0" fontId="0" fillId="3" borderId="12" xfId="0" applyFill="1" applyBorder="1" applyAlignment="1" applyProtection="1">
      <alignment horizontal="center" vertical="center"/>
      <protection locked="0"/>
    </xf>
    <xf numFmtId="0" fontId="26" fillId="9" borderId="8" xfId="0" applyFont="1" applyFill="1" applyBorder="1" applyAlignment="1">
      <alignment horizontal="center" vertical="center"/>
    </xf>
    <xf numFmtId="0" fontId="21" fillId="2" borderId="0" xfId="0" applyFont="1" applyFill="1"/>
    <xf numFmtId="0" fontId="8" fillId="3" borderId="8" xfId="0" applyFont="1" applyFill="1" applyBorder="1" applyAlignment="1" applyProtection="1">
      <alignment horizontal="left" vertical="center" wrapText="1"/>
      <protection locked="0"/>
    </xf>
    <xf numFmtId="0" fontId="0" fillId="13" borderId="0" xfId="0" applyFill="1" applyAlignment="1">
      <alignment vertical="top" wrapText="1"/>
    </xf>
    <xf numFmtId="0" fontId="14" fillId="13" borderId="0" xfId="0" applyFont="1" applyFill="1" applyAlignment="1">
      <alignment horizontal="center"/>
    </xf>
    <xf numFmtId="0" fontId="0" fillId="13" borderId="14" xfId="0" applyFill="1" applyBorder="1"/>
    <xf numFmtId="0" fontId="0" fillId="13" borderId="26" xfId="0" applyFill="1" applyBorder="1"/>
    <xf numFmtId="0" fontId="14" fillId="16" borderId="10" xfId="0" applyFont="1" applyFill="1" applyBorder="1" applyAlignment="1">
      <alignment horizontal="center"/>
    </xf>
    <xf numFmtId="0" fontId="14" fillId="16" borderId="11" xfId="0" applyFont="1" applyFill="1" applyBorder="1" applyAlignment="1">
      <alignment horizontal="center"/>
    </xf>
    <xf numFmtId="0" fontId="0" fillId="16" borderId="11" xfId="0" applyFill="1" applyBorder="1"/>
    <xf numFmtId="0" fontId="0" fillId="16" borderId="12" xfId="0" applyFill="1" applyBorder="1"/>
    <xf numFmtId="0" fontId="0" fillId="16" borderId="13" xfId="0" applyFill="1" applyBorder="1"/>
    <xf numFmtId="0" fontId="0" fillId="16" borderId="0" xfId="0" applyFill="1"/>
    <xf numFmtId="0" fontId="0" fillId="16" borderId="14" xfId="0" applyFill="1" applyBorder="1"/>
    <xf numFmtId="0" fontId="0" fillId="16" borderId="26" xfId="0" applyFill="1" applyBorder="1"/>
    <xf numFmtId="0" fontId="0" fillId="16" borderId="6" xfId="0" applyFill="1" applyBorder="1"/>
    <xf numFmtId="0" fontId="0" fillId="16" borderId="9" xfId="0" applyFill="1" applyBorder="1"/>
    <xf numFmtId="0" fontId="0" fillId="16" borderId="10" xfId="0" applyFill="1" applyBorder="1"/>
    <xf numFmtId="0" fontId="0" fillId="16" borderId="13" xfId="0" applyFill="1" applyBorder="1" applyAlignment="1">
      <alignment horizontal="center"/>
    </xf>
    <xf numFmtId="0" fontId="0" fillId="16" borderId="0" xfId="0" applyFill="1" applyAlignment="1">
      <alignment horizontal="center"/>
    </xf>
    <xf numFmtId="0" fontId="0" fillId="16" borderId="14" xfId="0" applyFill="1" applyBorder="1" applyAlignment="1">
      <alignment horizontal="center"/>
    </xf>
    <xf numFmtId="0" fontId="0" fillId="16" borderId="15" xfId="0" applyFill="1" applyBorder="1" applyAlignment="1">
      <alignment horizontal="center"/>
    </xf>
    <xf numFmtId="0" fontId="0" fillId="16" borderId="16" xfId="0" applyFill="1" applyBorder="1" applyAlignment="1">
      <alignment horizontal="center"/>
    </xf>
    <xf numFmtId="16" fontId="0" fillId="16" borderId="16" xfId="0" applyNumberFormat="1" applyFill="1" applyBorder="1" applyAlignment="1">
      <alignment horizontal="center"/>
    </xf>
    <xf numFmtId="0" fontId="0" fillId="16" borderId="17" xfId="0" applyFill="1" applyBorder="1" applyAlignment="1">
      <alignment horizontal="center"/>
    </xf>
    <xf numFmtId="0" fontId="0" fillId="16" borderId="15" xfId="0" applyFill="1" applyBorder="1"/>
    <xf numFmtId="0" fontId="0" fillId="16" borderId="16" xfId="0" applyFill="1" applyBorder="1"/>
    <xf numFmtId="0" fontId="0" fillId="16" borderId="6" xfId="0" applyFill="1" applyBorder="1" applyAlignment="1">
      <alignment horizontal="center"/>
    </xf>
    <xf numFmtId="0" fontId="0" fillId="16" borderId="9" xfId="0" applyFill="1" applyBorder="1" applyAlignment="1">
      <alignment horizontal="center"/>
    </xf>
    <xf numFmtId="0" fontId="0" fillId="16" borderId="7" xfId="0" applyFill="1" applyBorder="1" applyAlignment="1">
      <alignment horizontal="center"/>
    </xf>
    <xf numFmtId="0" fontId="0" fillId="16" borderId="17" xfId="0" applyFill="1" applyBorder="1"/>
    <xf numFmtId="0" fontId="0" fillId="13" borderId="26" xfId="0" applyFill="1" applyBorder="1" applyAlignment="1">
      <alignment wrapText="1"/>
    </xf>
    <xf numFmtId="0" fontId="14" fillId="13" borderId="8" xfId="0" applyFont="1" applyFill="1" applyBorder="1"/>
    <xf numFmtId="0" fontId="0" fillId="13" borderId="8" xfId="0" applyFill="1" applyBorder="1" applyAlignment="1">
      <alignment horizontal="left" wrapText="1"/>
    </xf>
    <xf numFmtId="0" fontId="0" fillId="13" borderId="27" xfId="0" applyFill="1" applyBorder="1"/>
    <xf numFmtId="0" fontId="0" fillId="13" borderId="26" xfId="0" applyFill="1" applyBorder="1" applyAlignment="1">
      <alignment vertical="center"/>
    </xf>
    <xf numFmtId="0" fontId="14" fillId="13" borderId="14" xfId="0" applyFont="1" applyFill="1" applyBorder="1"/>
    <xf numFmtId="0" fontId="0" fillId="9" borderId="26" xfId="0" applyFill="1" applyBorder="1" applyAlignment="1">
      <alignment wrapText="1"/>
    </xf>
    <xf numFmtId="0" fontId="14" fillId="13" borderId="14" xfId="0" applyFont="1" applyFill="1" applyBorder="1" applyAlignment="1">
      <alignment vertical="top"/>
    </xf>
    <xf numFmtId="0" fontId="0" fillId="13" borderId="27" xfId="0" applyFill="1" applyBorder="1" applyAlignment="1">
      <alignment wrapText="1"/>
    </xf>
    <xf numFmtId="0" fontId="0" fillId="13" borderId="27" xfId="0" applyFill="1" applyBorder="1" applyAlignment="1">
      <alignment vertical="center"/>
    </xf>
    <xf numFmtId="0" fontId="0" fillId="13" borderId="27" xfId="0" applyFill="1" applyBorder="1" applyAlignment="1">
      <alignment vertical="center" wrapText="1"/>
    </xf>
    <xf numFmtId="0" fontId="0" fillId="13" borderId="8" xfId="0" applyFill="1" applyBorder="1" applyAlignment="1">
      <alignment vertical="center"/>
    </xf>
    <xf numFmtId="0" fontId="14" fillId="13" borderId="8" xfId="0" applyFont="1" applyFill="1" applyBorder="1" applyAlignment="1">
      <alignment horizontal="center" vertical="center"/>
    </xf>
    <xf numFmtId="0" fontId="3" fillId="13" borderId="21" xfId="0" applyFont="1" applyFill="1" applyBorder="1" applyAlignment="1">
      <alignment horizontal="center"/>
    </xf>
    <xf numFmtId="164" fontId="3" fillId="13" borderId="22" xfId="0" applyNumberFormat="1" applyFont="1" applyFill="1" applyBorder="1"/>
    <xf numFmtId="0" fontId="3" fillId="13" borderId="23" xfId="0" quotePrefix="1" applyFont="1" applyFill="1" applyBorder="1" applyAlignment="1">
      <alignment horizontal="left"/>
    </xf>
    <xf numFmtId="0" fontId="17" fillId="13" borderId="0" xfId="0" applyFont="1" applyFill="1" applyAlignment="1">
      <alignment wrapText="1"/>
    </xf>
    <xf numFmtId="0" fontId="0" fillId="13" borderId="8" xfId="0" applyFill="1" applyBorder="1"/>
    <xf numFmtId="0" fontId="14" fillId="9" borderId="7" xfId="0" applyFont="1" applyFill="1" applyBorder="1" applyAlignment="1">
      <alignment horizontal="center" vertical="center" wrapText="1"/>
    </xf>
    <xf numFmtId="0" fontId="14" fillId="9" borderId="17" xfId="0" applyFont="1" applyFill="1" applyBorder="1" applyAlignment="1">
      <alignment horizontal="center" vertical="center" wrapText="1"/>
    </xf>
    <xf numFmtId="0" fontId="14" fillId="9" borderId="0" xfId="0" applyFont="1" applyFill="1" applyAlignment="1">
      <alignment horizontal="center" vertical="center" wrapText="1"/>
    </xf>
    <xf numFmtId="0" fontId="14" fillId="9" borderId="9" xfId="0" applyFont="1" applyFill="1" applyBorder="1" applyAlignment="1">
      <alignment horizontal="center" vertical="center" wrapText="1"/>
    </xf>
    <xf numFmtId="0" fontId="12" fillId="13" borderId="26" xfId="1" applyFill="1" applyBorder="1" applyAlignment="1" applyProtection="1">
      <alignment wrapText="1"/>
    </xf>
    <xf numFmtId="164" fontId="3" fillId="13" borderId="0" xfId="0" applyNumberFormat="1" applyFont="1" applyFill="1"/>
    <xf numFmtId="0" fontId="3" fillId="13" borderId="0" xfId="0" quotePrefix="1" applyFont="1" applyFill="1" applyAlignment="1">
      <alignment horizontal="left"/>
    </xf>
    <xf numFmtId="0" fontId="3" fillId="13" borderId="4" xfId="0" applyFont="1" applyFill="1" applyBorder="1" applyAlignment="1">
      <alignment horizontal="center"/>
    </xf>
    <xf numFmtId="0" fontId="3" fillId="13" borderId="22" xfId="0" quotePrefix="1" applyFont="1" applyFill="1" applyBorder="1" applyAlignment="1">
      <alignment horizontal="left"/>
    </xf>
    <xf numFmtId="0" fontId="0" fillId="16" borderId="13" xfId="0" applyFill="1" applyBorder="1" applyAlignment="1">
      <alignment wrapText="1"/>
    </xf>
    <xf numFmtId="0" fontId="14" fillId="16" borderId="8" xfId="0" applyFont="1" applyFill="1" applyBorder="1" applyAlignment="1">
      <alignment vertical="center" wrapText="1"/>
    </xf>
    <xf numFmtId="0" fontId="21" fillId="16" borderId="0" xfId="0" applyFont="1" applyFill="1" applyAlignment="1">
      <alignment horizontal="center" wrapText="1"/>
    </xf>
    <xf numFmtId="0" fontId="0" fillId="16" borderId="0" xfId="0" applyFill="1" applyAlignment="1">
      <alignment wrapText="1"/>
    </xf>
    <xf numFmtId="0" fontId="0" fillId="16" borderId="2" xfId="0" applyFill="1" applyBorder="1"/>
    <xf numFmtId="0" fontId="21" fillId="16" borderId="2" xfId="0" applyFont="1" applyFill="1" applyBorder="1" applyAlignment="1">
      <alignment horizontal="center" wrapText="1"/>
    </xf>
    <xf numFmtId="0" fontId="0" fillId="13" borderId="26" xfId="0" applyFill="1" applyBorder="1" applyAlignment="1">
      <alignment horizontal="left" vertical="center"/>
    </xf>
    <xf numFmtId="0" fontId="0" fillId="13" borderId="27" xfId="0" applyFill="1" applyBorder="1" applyAlignment="1">
      <alignment horizontal="left" vertical="center"/>
    </xf>
    <xf numFmtId="0" fontId="0" fillId="16" borderId="13" xfId="0" applyFill="1" applyBorder="1" applyAlignment="1">
      <alignment horizontal="left" wrapText="1"/>
    </xf>
    <xf numFmtId="0" fontId="0" fillId="16" borderId="0" xfId="0" applyFill="1" applyAlignment="1">
      <alignment horizontal="left" wrapText="1"/>
    </xf>
    <xf numFmtId="0" fontId="0" fillId="16" borderId="14" xfId="0" applyFill="1" applyBorder="1" applyAlignment="1">
      <alignment horizontal="left" wrapText="1"/>
    </xf>
    <xf numFmtId="0" fontId="14" fillId="16" borderId="9" xfId="0" applyFont="1" applyFill="1" applyBorder="1" applyAlignment="1">
      <alignment horizontal="center"/>
    </xf>
    <xf numFmtId="0" fontId="0" fillId="16" borderId="6" xfId="0" applyFill="1" applyBorder="1" applyAlignment="1">
      <alignment horizontal="center"/>
    </xf>
    <xf numFmtId="0" fontId="0" fillId="16" borderId="9" xfId="0" applyFill="1" applyBorder="1" applyAlignment="1">
      <alignment horizontal="center"/>
    </xf>
    <xf numFmtId="0" fontId="0" fillId="16" borderId="7" xfId="0" applyFill="1" applyBorder="1" applyAlignment="1">
      <alignment horizontal="center"/>
    </xf>
    <xf numFmtId="0" fontId="0" fillId="16" borderId="13" xfId="0" applyFill="1" applyBorder="1" applyAlignment="1">
      <alignment horizontal="left"/>
    </xf>
    <xf numFmtId="0" fontId="0" fillId="16" borderId="0" xfId="0" applyFill="1" applyAlignment="1">
      <alignment horizontal="left"/>
    </xf>
    <xf numFmtId="0" fontId="0" fillId="16" borderId="14" xfId="0" applyFill="1" applyBorder="1" applyAlignment="1">
      <alignment horizontal="left"/>
    </xf>
    <xf numFmtId="0" fontId="25" fillId="13" borderId="0" xfId="0" applyFont="1" applyFill="1" applyAlignment="1">
      <alignment horizontal="center" vertical="center" wrapText="1"/>
    </xf>
    <xf numFmtId="0" fontId="15" fillId="9" borderId="10" xfId="0" applyFont="1" applyFill="1" applyBorder="1" applyAlignment="1">
      <alignment horizontal="center" vertical="center" wrapText="1"/>
    </xf>
    <xf numFmtId="0" fontId="15" fillId="9" borderId="11" xfId="0" applyFont="1" applyFill="1" applyBorder="1" applyAlignment="1">
      <alignment horizontal="center" vertical="center" wrapText="1"/>
    </xf>
    <xf numFmtId="0" fontId="15" fillId="9" borderId="15" xfId="0" applyFont="1" applyFill="1" applyBorder="1" applyAlignment="1">
      <alignment horizontal="center" vertical="center" wrapText="1"/>
    </xf>
    <xf numFmtId="0" fontId="15" fillId="9" borderId="16" xfId="0" applyFont="1" applyFill="1" applyBorder="1" applyAlignment="1">
      <alignment horizontal="center" vertical="center" wrapText="1"/>
    </xf>
    <xf numFmtId="0" fontId="3" fillId="13" borderId="0" xfId="0" applyFont="1" applyFill="1" applyAlignment="1">
      <alignment horizontal="center" wrapText="1"/>
    </xf>
    <xf numFmtId="0" fontId="8" fillId="0" borderId="6"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7" fillId="9" borderId="6" xfId="0" applyFont="1" applyFill="1" applyBorder="1" applyAlignment="1">
      <alignment horizontal="center" vertical="center" wrapText="1"/>
    </xf>
    <xf numFmtId="0" fontId="7" fillId="9" borderId="9" xfId="0" applyFont="1" applyFill="1" applyBorder="1" applyAlignment="1">
      <alignment horizontal="center" vertical="center" wrapText="1"/>
    </xf>
    <xf numFmtId="0" fontId="30" fillId="0" borderId="6" xfId="0" applyFont="1" applyBorder="1" applyAlignment="1" applyProtection="1">
      <alignment horizontal="center" vertical="center" wrapText="1"/>
      <protection locked="0"/>
    </xf>
    <xf numFmtId="0" fontId="30" fillId="0" borderId="9" xfId="0" applyFont="1" applyBorder="1" applyAlignment="1" applyProtection="1">
      <alignment horizontal="center" vertical="center" wrapText="1"/>
      <protection locked="0"/>
    </xf>
    <xf numFmtId="0" fontId="30" fillId="0" borderId="7" xfId="0" applyFont="1" applyBorder="1" applyAlignment="1" applyProtection="1">
      <alignment horizontal="center" vertical="center" wrapText="1"/>
      <protection locked="0"/>
    </xf>
    <xf numFmtId="0" fontId="26" fillId="9" borderId="10" xfId="0" applyFont="1" applyFill="1" applyBorder="1" applyAlignment="1">
      <alignment horizontal="center" vertical="center" wrapText="1"/>
    </xf>
    <xf numFmtId="0" fontId="26" fillId="9" borderId="11" xfId="0" applyFont="1" applyFill="1" applyBorder="1" applyAlignment="1">
      <alignment horizontal="center" vertical="center" wrapText="1"/>
    </xf>
    <xf numFmtId="0" fontId="26" fillId="9" borderId="12" xfId="0" applyFont="1" applyFill="1" applyBorder="1" applyAlignment="1">
      <alignment horizontal="center" vertical="center" wrapText="1"/>
    </xf>
    <xf numFmtId="0" fontId="26" fillId="9" borderId="13" xfId="0" applyFont="1" applyFill="1" applyBorder="1" applyAlignment="1">
      <alignment horizontal="center" vertical="center" wrapText="1"/>
    </xf>
    <xf numFmtId="0" fontId="26" fillId="9" borderId="0" xfId="0" applyFont="1" applyFill="1" applyAlignment="1">
      <alignment horizontal="center" vertical="center" wrapText="1"/>
    </xf>
    <xf numFmtId="0" fontId="26" fillId="9" borderId="14" xfId="0" applyFont="1" applyFill="1" applyBorder="1" applyAlignment="1">
      <alignment horizontal="center" vertical="center" wrapText="1"/>
    </xf>
    <xf numFmtId="0" fontId="26" fillId="9" borderId="15" xfId="0" applyFont="1" applyFill="1" applyBorder="1" applyAlignment="1">
      <alignment horizontal="center" vertical="center" wrapText="1"/>
    </xf>
    <xf numFmtId="0" fontId="26" fillId="9" borderId="16" xfId="0" applyFont="1" applyFill="1" applyBorder="1" applyAlignment="1">
      <alignment horizontal="center" vertical="center" wrapText="1"/>
    </xf>
    <xf numFmtId="0" fontId="26" fillId="9" borderId="17" xfId="0" applyFont="1" applyFill="1" applyBorder="1" applyAlignment="1">
      <alignment horizontal="center" vertical="center" wrapText="1"/>
    </xf>
    <xf numFmtId="0" fontId="3" fillId="13" borderId="6" xfId="0" applyFont="1" applyFill="1" applyBorder="1" applyAlignment="1">
      <alignment horizontal="center" vertical="center" wrapText="1"/>
    </xf>
    <xf numFmtId="0" fontId="3" fillId="13" borderId="9" xfId="0" applyFont="1" applyFill="1" applyBorder="1" applyAlignment="1">
      <alignment horizontal="center" vertical="center" wrapText="1"/>
    </xf>
    <xf numFmtId="0" fontId="0" fillId="13" borderId="11" xfId="0" applyFill="1" applyBorder="1" applyAlignment="1">
      <alignment horizont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0" fillId="13" borderId="13" xfId="0" applyFill="1" applyBorder="1" applyAlignment="1">
      <alignment horizontal="center"/>
    </xf>
    <xf numFmtId="0" fontId="0" fillId="13" borderId="0" xfId="0" applyFill="1" applyAlignment="1">
      <alignment horizontal="center"/>
    </xf>
    <xf numFmtId="0" fontId="4" fillId="0" borderId="0" xfId="0" applyFont="1" applyAlignment="1">
      <alignment horizontal="left" vertical="top" wrapText="1"/>
    </xf>
    <xf numFmtId="0" fontId="1" fillId="13" borderId="0" xfId="0" applyFont="1" applyFill="1" applyAlignment="1">
      <alignment horizontal="center" vertical="center" wrapText="1"/>
    </xf>
    <xf numFmtId="0" fontId="7" fillId="9" borderId="6" xfId="0" applyFont="1" applyFill="1" applyBorder="1" applyAlignment="1">
      <alignment horizontal="center" vertical="center"/>
    </xf>
    <xf numFmtId="0" fontId="7" fillId="9" borderId="7" xfId="0" applyFont="1" applyFill="1" applyBorder="1" applyAlignment="1">
      <alignment horizontal="center" vertical="center"/>
    </xf>
    <xf numFmtId="0" fontId="30" fillId="0" borderId="6" xfId="0" applyFont="1" applyBorder="1" applyAlignment="1" applyProtection="1">
      <alignment horizontal="center"/>
      <protection locked="0"/>
    </xf>
    <xf numFmtId="0" fontId="30" fillId="0" borderId="9" xfId="0" applyFont="1" applyBorder="1" applyAlignment="1" applyProtection="1">
      <alignment horizontal="center"/>
      <protection locked="0"/>
    </xf>
    <xf numFmtId="0" fontId="30" fillId="0" borderId="7" xfId="0" applyFont="1" applyBorder="1" applyAlignment="1" applyProtection="1">
      <alignment horizontal="center"/>
      <protection locked="0"/>
    </xf>
    <xf numFmtId="0" fontId="0" fillId="14" borderId="0" xfId="0" applyFill="1" applyAlignment="1">
      <alignment horizontal="center"/>
    </xf>
    <xf numFmtId="0" fontId="0" fillId="9" borderId="16" xfId="0" applyFill="1" applyBorder="1" applyAlignment="1">
      <alignment horizontal="center" vertical="center" wrapText="1"/>
    </xf>
    <xf numFmtId="0" fontId="17" fillId="13" borderId="0" xfId="0" applyFont="1" applyFill="1" applyAlignment="1">
      <alignment horizontal="left"/>
    </xf>
    <xf numFmtId="0" fontId="0" fillId="13" borderId="0" xfId="0" applyFill="1" applyAlignment="1">
      <alignment horizontal="right" vertical="center"/>
    </xf>
    <xf numFmtId="0" fontId="17" fillId="13" borderId="0" xfId="0" applyFont="1" applyFill="1" applyAlignment="1">
      <alignment horizontal="center"/>
    </xf>
    <xf numFmtId="14" fontId="30" fillId="0" borderId="6" xfId="0" applyNumberFormat="1" applyFont="1" applyBorder="1" applyAlignment="1" applyProtection="1">
      <alignment horizontal="center"/>
      <protection locked="0"/>
    </xf>
    <xf numFmtId="0" fontId="7" fillId="9" borderId="21" xfId="0" applyFont="1" applyFill="1" applyBorder="1" applyAlignment="1">
      <alignment horizontal="center" vertical="center"/>
    </xf>
    <xf numFmtId="0" fontId="7" fillId="9" borderId="22" xfId="0" applyFont="1" applyFill="1" applyBorder="1" applyAlignment="1">
      <alignment horizontal="center" vertical="center"/>
    </xf>
    <xf numFmtId="0" fontId="7" fillId="9" borderId="23" xfId="0" applyFont="1" applyFill="1" applyBorder="1" applyAlignment="1">
      <alignment horizontal="center" vertical="center"/>
    </xf>
    <xf numFmtId="0" fontId="23" fillId="13" borderId="21" xfId="0" applyFont="1" applyFill="1" applyBorder="1" applyAlignment="1">
      <alignment horizontal="center" vertical="center"/>
    </xf>
    <xf numFmtId="0" fontId="23" fillId="13" borderId="22" xfId="0" applyFont="1" applyFill="1" applyBorder="1" applyAlignment="1">
      <alignment horizontal="center" vertical="center"/>
    </xf>
    <xf numFmtId="0" fontId="23" fillId="13" borderId="23" xfId="0" applyFont="1" applyFill="1" applyBorder="1" applyAlignment="1">
      <alignment horizontal="center" vertical="center"/>
    </xf>
    <xf numFmtId="0" fontId="8" fillId="13" borderId="0" xfId="0" applyFont="1" applyFill="1" applyAlignment="1">
      <alignment horizontal="left"/>
    </xf>
    <xf numFmtId="0" fontId="3" fillId="13" borderId="0" xfId="0" applyFont="1" applyFill="1" applyAlignment="1">
      <alignment horizontal="center" vertical="top" wrapText="1"/>
    </xf>
    <xf numFmtId="0" fontId="5" fillId="13" borderId="0" xfId="0" applyFont="1" applyFill="1" applyAlignment="1">
      <alignment horizontal="center" vertical="center" wrapText="1"/>
    </xf>
    <xf numFmtId="0" fontId="21" fillId="13" borderId="0" xfId="0" applyFont="1" applyFill="1" applyAlignment="1">
      <alignment horizontal="center" vertical="center" wrapText="1"/>
    </xf>
    <xf numFmtId="0" fontId="21" fillId="13" borderId="16" xfId="0" applyFont="1" applyFill="1" applyBorder="1" applyAlignment="1">
      <alignment horizontal="center" vertical="center" wrapText="1"/>
    </xf>
    <xf numFmtId="0" fontId="0" fillId="13" borderId="0" xfId="0" applyFill="1" applyAlignment="1">
      <alignment horizontal="center" wrapText="1"/>
    </xf>
    <xf numFmtId="0" fontId="0" fillId="13" borderId="16" xfId="0" applyFill="1" applyBorder="1" applyAlignment="1">
      <alignment horizontal="center" wrapText="1"/>
    </xf>
    <xf numFmtId="0" fontId="9" fillId="13" borderId="16" xfId="0" applyFont="1" applyFill="1" applyBorder="1" applyAlignment="1">
      <alignment horizontal="center"/>
    </xf>
    <xf numFmtId="0" fontId="3" fillId="14" borderId="8" xfId="0" applyFont="1" applyFill="1" applyBorder="1" applyAlignment="1">
      <alignment horizontal="left"/>
    </xf>
    <xf numFmtId="0" fontId="8" fillId="14" borderId="8" xfId="0" applyFont="1" applyFill="1" applyBorder="1" applyAlignment="1">
      <alignment horizontal="center"/>
    </xf>
    <xf numFmtId="0" fontId="7" fillId="9" borderId="21" xfId="0" applyFont="1" applyFill="1" applyBorder="1" applyAlignment="1">
      <alignment horizontal="center" vertical="center" wrapText="1"/>
    </xf>
    <xf numFmtId="0" fontId="7" fillId="9" borderId="22" xfId="0" applyFont="1" applyFill="1" applyBorder="1" applyAlignment="1">
      <alignment horizontal="center" vertical="center" wrapText="1"/>
    </xf>
    <xf numFmtId="0" fontId="7" fillId="9" borderId="23" xfId="0" applyFont="1" applyFill="1" applyBorder="1" applyAlignment="1">
      <alignment horizontal="center" vertical="center" wrapText="1"/>
    </xf>
    <xf numFmtId="0" fontId="21" fillId="2" borderId="0" xfId="0" applyFont="1" applyFill="1" applyAlignment="1">
      <alignment horizontal="center" wrapText="1"/>
    </xf>
    <xf numFmtId="0" fontId="18" fillId="2" borderId="0" xfId="0" applyFont="1" applyFill="1" applyAlignment="1">
      <alignment horizontal="center" wrapText="1"/>
    </xf>
    <xf numFmtId="0" fontId="0" fillId="2" borderId="0" xfId="0" applyFill="1" applyAlignment="1">
      <alignment horizontal="center" wrapText="1"/>
    </xf>
    <xf numFmtId="0" fontId="0" fillId="13" borderId="0" xfId="0" applyFill="1" applyAlignment="1">
      <alignment horizontal="center" vertical="center" wrapText="1"/>
    </xf>
    <xf numFmtId="0" fontId="29" fillId="2" borderId="0" xfId="0" applyFont="1" applyFill="1" applyAlignment="1">
      <alignment horizontal="center" wrapText="1"/>
    </xf>
    <xf numFmtId="0" fontId="21" fillId="2" borderId="0" xfId="0" applyFont="1" applyFill="1" applyAlignment="1">
      <alignment horizontal="center"/>
    </xf>
    <xf numFmtId="0" fontId="22" fillId="9" borderId="6" xfId="0" applyFont="1" applyFill="1" applyBorder="1" applyAlignment="1">
      <alignment horizontal="center" vertical="center" wrapText="1"/>
    </xf>
    <xf numFmtId="0" fontId="22" fillId="9" borderId="9" xfId="0" applyFont="1" applyFill="1" applyBorder="1" applyAlignment="1">
      <alignment horizontal="center" vertical="center" wrapText="1"/>
    </xf>
    <xf numFmtId="0" fontId="22" fillId="9" borderId="7" xfId="0" applyFont="1" applyFill="1" applyBorder="1" applyAlignment="1">
      <alignment horizontal="center" vertical="center" wrapText="1"/>
    </xf>
    <xf numFmtId="0" fontId="14" fillId="9" borderId="25" xfId="0" applyFont="1" applyFill="1" applyBorder="1" applyAlignment="1">
      <alignment horizontal="center" vertical="center" wrapText="1"/>
    </xf>
    <xf numFmtId="0" fontId="14" fillId="9" borderId="26" xfId="0" applyFont="1" applyFill="1" applyBorder="1" applyAlignment="1">
      <alignment horizontal="center" vertical="center" wrapText="1"/>
    </xf>
    <xf numFmtId="0" fontId="14" fillId="9" borderId="27" xfId="0" applyFont="1" applyFill="1" applyBorder="1" applyAlignment="1">
      <alignment horizontal="center" vertical="center" wrapText="1"/>
    </xf>
    <xf numFmtId="0" fontId="18" fillId="13" borderId="0" xfId="0" applyFont="1" applyFill="1" applyAlignment="1">
      <alignment horizontal="center" wrapText="1"/>
    </xf>
    <xf numFmtId="0" fontId="14" fillId="8" borderId="8" xfId="0" applyFont="1" applyFill="1" applyBorder="1" applyAlignment="1">
      <alignment horizontal="center" vertical="center" wrapText="1"/>
    </xf>
    <xf numFmtId="0" fontId="22" fillId="9" borderId="21" xfId="0" applyFont="1" applyFill="1" applyBorder="1" applyAlignment="1">
      <alignment horizontal="center" vertical="center"/>
    </xf>
    <xf numFmtId="0" fontId="22" fillId="9" borderId="22" xfId="0" applyFont="1" applyFill="1" applyBorder="1" applyAlignment="1">
      <alignment horizontal="center" vertical="center"/>
    </xf>
    <xf numFmtId="0" fontId="22" fillId="9" borderId="23" xfId="0" applyFont="1" applyFill="1" applyBorder="1" applyAlignment="1">
      <alignment horizontal="center" vertical="center"/>
    </xf>
    <xf numFmtId="0" fontId="26" fillId="9" borderId="9" xfId="0" applyFont="1" applyFill="1" applyBorder="1" applyAlignment="1">
      <alignment horizontal="center" vertical="center" wrapText="1"/>
    </xf>
    <xf numFmtId="0" fontId="26" fillId="9" borderId="9" xfId="0" applyFont="1" applyFill="1" applyBorder="1" applyAlignment="1">
      <alignment horizontal="center" vertical="center"/>
    </xf>
    <xf numFmtId="0" fontId="26" fillId="9" borderId="7" xfId="0" applyFont="1" applyFill="1" applyBorder="1" applyAlignment="1">
      <alignment horizontal="center" vertical="center"/>
    </xf>
    <xf numFmtId="0" fontId="14" fillId="9" borderId="8" xfId="0" applyFont="1" applyFill="1" applyBorder="1" applyAlignment="1">
      <alignment horizontal="center" wrapText="1"/>
    </xf>
    <xf numFmtId="0" fontId="0" fillId="9" borderId="6" xfId="0" applyFill="1" applyBorder="1" applyAlignment="1">
      <alignment horizontal="center" wrapText="1"/>
    </xf>
    <xf numFmtId="0" fontId="0" fillId="9" borderId="9" xfId="0" applyFill="1" applyBorder="1" applyAlignment="1">
      <alignment horizontal="center" wrapText="1"/>
    </xf>
    <xf numFmtId="0" fontId="0" fillId="9" borderId="15" xfId="0" applyFill="1" applyBorder="1" applyAlignment="1">
      <alignment horizontal="center" wrapText="1"/>
    </xf>
    <xf numFmtId="0" fontId="0" fillId="9" borderId="16" xfId="0" applyFill="1" applyBorder="1" applyAlignment="1">
      <alignment horizontal="center" wrapText="1"/>
    </xf>
    <xf numFmtId="0" fontId="0" fillId="0" borderId="8" xfId="0" applyBorder="1" applyAlignment="1" applyProtection="1">
      <alignment horizontal="center" vertical="center"/>
      <protection locked="0"/>
    </xf>
    <xf numFmtId="0" fontId="21" fillId="13" borderId="15" xfId="0" applyFont="1" applyFill="1" applyBorder="1" applyAlignment="1">
      <alignment horizontal="center" vertical="center" wrapText="1"/>
    </xf>
    <xf numFmtId="0" fontId="21" fillId="13" borderId="17" xfId="0" applyFont="1" applyFill="1" applyBorder="1" applyAlignment="1">
      <alignment horizontal="center" vertical="center" wrapText="1"/>
    </xf>
    <xf numFmtId="0" fontId="0" fillId="14" borderId="12" xfId="0" applyFill="1" applyBorder="1" applyAlignment="1">
      <alignment horizontal="center" vertical="center"/>
    </xf>
    <xf numFmtId="0" fontId="0" fillId="14" borderId="17" xfId="0" applyFill="1" applyBorder="1" applyAlignment="1">
      <alignment horizontal="center" vertical="center"/>
    </xf>
    <xf numFmtId="0" fontId="14" fillId="9" borderId="8" xfId="0" applyFont="1" applyFill="1" applyBorder="1" applyAlignment="1">
      <alignment horizontal="center" vertical="center"/>
    </xf>
    <xf numFmtId="0" fontId="22" fillId="13" borderId="0" xfId="0" applyFont="1" applyFill="1" applyAlignment="1">
      <alignment horizontal="center"/>
    </xf>
    <xf numFmtId="0" fontId="26" fillId="9" borderId="6" xfId="0" applyFont="1" applyFill="1" applyBorder="1" applyAlignment="1">
      <alignment horizontal="center" vertical="center"/>
    </xf>
    <xf numFmtId="0" fontId="14" fillId="9" borderId="8" xfId="0" applyFont="1" applyFill="1" applyBorder="1" applyAlignment="1">
      <alignment horizontal="center" vertical="center" wrapText="1"/>
    </xf>
    <xf numFmtId="0" fontId="26" fillId="9" borderId="6" xfId="0" applyFont="1" applyFill="1" applyBorder="1" applyAlignment="1">
      <alignment horizontal="left" vertical="center"/>
    </xf>
    <xf numFmtId="0" fontId="26" fillId="9" borderId="9" xfId="0" applyFont="1" applyFill="1" applyBorder="1" applyAlignment="1">
      <alignment horizontal="left" vertical="center"/>
    </xf>
    <xf numFmtId="0" fontId="26" fillId="9" borderId="7" xfId="0" applyFont="1" applyFill="1" applyBorder="1" applyAlignment="1">
      <alignment horizontal="left" vertical="center"/>
    </xf>
    <xf numFmtId="0" fontId="14" fillId="14" borderId="8" xfId="0" applyFont="1" applyFill="1" applyBorder="1" applyAlignment="1">
      <alignment horizontal="center" vertical="center" wrapText="1"/>
    </xf>
  </cellXfs>
  <cellStyles count="3">
    <cellStyle name="Currency" xfId="2" builtinId="4"/>
    <cellStyle name="Hyperlink" xfId="1" builtinId="8"/>
    <cellStyle name="Normal" xfId="0" builtinId="0"/>
  </cellStyles>
  <dxfs count="31">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dxf>
    <dxf>
      <fill>
        <patternFill>
          <bgColor rgb="FFFFFF00"/>
        </patternFill>
      </fill>
    </dxf>
    <dxf>
      <fill>
        <patternFill>
          <bgColor rgb="FFFFFF00"/>
        </patternFill>
      </fill>
    </dxf>
    <dxf>
      <font>
        <b/>
        <i val="0"/>
        <color rgb="FFFF0000"/>
      </font>
    </dxf>
    <dxf>
      <font>
        <b/>
        <i val="0"/>
        <color rgb="FF92D050"/>
      </font>
    </dxf>
    <dxf>
      <font>
        <b/>
        <i val="0"/>
        <color rgb="FFFF0000"/>
      </font>
    </dxf>
    <dxf>
      <font>
        <b/>
        <i val="0"/>
        <color rgb="FF92D050"/>
      </font>
    </dxf>
    <dxf>
      <font>
        <b/>
        <i val="0"/>
        <color rgb="FF00B050"/>
      </font>
      <numFmt numFmtId="0" formatCode="General"/>
      <fill>
        <patternFill>
          <bgColor theme="0" tint="-0.14996795556505021"/>
        </patternFill>
      </fill>
    </dxf>
    <dxf>
      <font>
        <color rgb="FF9C0006"/>
      </font>
      <fill>
        <patternFill>
          <bgColor rgb="FFFFC7CE"/>
        </patternFill>
      </fill>
    </dxf>
    <dxf>
      <font>
        <b/>
        <i val="0"/>
        <color rgb="FF92D050"/>
      </font>
    </dxf>
    <dxf>
      <font>
        <b/>
        <i val="0"/>
        <color rgb="FFFF0000"/>
      </font>
    </dxf>
    <dxf>
      <fill>
        <patternFill>
          <bgColor rgb="FF92D050"/>
        </patternFill>
      </fill>
    </dxf>
    <dxf>
      <font>
        <b/>
        <i val="0"/>
        <color rgb="FF92D050"/>
      </font>
    </dxf>
    <dxf>
      <font>
        <b/>
        <i val="0"/>
        <color rgb="FFFF0000"/>
      </font>
    </dxf>
    <dxf>
      <font>
        <color auto="1"/>
      </font>
      <fill>
        <patternFill>
          <bgColor rgb="FFFFFF00"/>
        </patternFill>
      </fill>
    </dxf>
    <dxf>
      <fill>
        <patternFill>
          <bgColor theme="0" tint="-0.24994659260841701"/>
        </patternFill>
      </fill>
    </dxf>
    <dxf>
      <fill>
        <patternFill>
          <bgColor theme="0" tint="-0.34998626667073579"/>
        </patternFill>
      </fill>
    </dxf>
  </dxfs>
  <tableStyles count="0" defaultTableStyle="TableStyleMedium2" defaultPivotStyle="PivotStyleLight16"/>
  <colors>
    <mruColors>
      <color rgb="FFCCFFCC"/>
      <color rgb="FFDFD299"/>
      <color rgb="FFEF95E4"/>
      <color rgb="FFCCCCFF"/>
      <color rgb="FFFFDF79"/>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19050</xdr:colOff>
      <xdr:row>2</xdr:row>
      <xdr:rowOff>9525</xdr:rowOff>
    </xdr:from>
    <xdr:to>
      <xdr:col>5</xdr:col>
      <xdr:colOff>209550</xdr:colOff>
      <xdr:row>2</xdr:row>
      <xdr:rowOff>2047875</xdr:rowOff>
    </xdr:to>
    <xdr:sp macro="" textlink="">
      <xdr:nvSpPr>
        <xdr:cNvPr id="2" name="TextBox 1">
          <a:extLst>
            <a:ext uri="{FF2B5EF4-FFF2-40B4-BE49-F238E27FC236}">
              <a16:creationId xmlns:a16="http://schemas.microsoft.com/office/drawing/2014/main" id="{1F00E6B8-A103-4286-8591-C71800252C11}"/>
            </a:ext>
          </a:extLst>
        </xdr:cNvPr>
        <xdr:cNvSpPr txBox="1"/>
      </xdr:nvSpPr>
      <xdr:spPr>
        <a:xfrm>
          <a:off x="2619375" y="523875"/>
          <a:ext cx="9896475" cy="2038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t>This charge tool will calculate the amount you need to pay for your application</a:t>
          </a:r>
          <a:r>
            <a:rPr lang="en-GB" sz="1200"/>
            <a:t>. </a:t>
          </a:r>
        </a:p>
        <a:p>
          <a:endParaRPr lang="en-GB" sz="1200"/>
        </a:p>
        <a:p>
          <a:r>
            <a:rPr lang="en-GB" sz="1200"/>
            <a:t>It asks questions about the activities on your installation and aspects of your operations that may make the determination process more time consuming. The answers to those questions are used to place the application in one of four charge bands.  </a:t>
          </a:r>
        </a:p>
        <a:p>
          <a:endParaRPr lang="en-GB" sz="1200"/>
        </a:p>
        <a:p>
          <a:r>
            <a:rPr lang="en-GB" sz="1200"/>
            <a:t>Additional charges for "other activities" are then added. These are activities that would need a permit if they were not part of the installation. We charge an amount to cover the additional assessment work for these activities. </a:t>
          </a:r>
        </a:p>
        <a:p>
          <a:endParaRPr lang="en-GB" sz="1200"/>
        </a:p>
        <a:p>
          <a:r>
            <a:rPr lang="en-GB" sz="1200"/>
            <a:t>The final component is for "Additional Assessments". These are the specialist assessments that you may be required to submit as part of your application when the basic sreening risk assessment indicates that a full modelled risk assessment is needed. </a:t>
          </a:r>
        </a:p>
      </xdr:txBody>
    </xdr:sp>
    <xdr:clientData/>
  </xdr:twoCellAnchor>
  <xdr:twoCellAnchor>
    <xdr:from>
      <xdr:col>2</xdr:col>
      <xdr:colOff>38100</xdr:colOff>
      <xdr:row>2</xdr:row>
      <xdr:rowOff>2162176</xdr:rowOff>
    </xdr:from>
    <xdr:to>
      <xdr:col>5</xdr:col>
      <xdr:colOff>180975</xdr:colOff>
      <xdr:row>2</xdr:row>
      <xdr:rowOff>3457575</xdr:rowOff>
    </xdr:to>
    <xdr:sp macro="" textlink="">
      <xdr:nvSpPr>
        <xdr:cNvPr id="3" name="TextBox 2">
          <a:extLst>
            <a:ext uri="{FF2B5EF4-FFF2-40B4-BE49-F238E27FC236}">
              <a16:creationId xmlns:a16="http://schemas.microsoft.com/office/drawing/2014/main" id="{F2A8BF50-ED69-408F-BAB3-12CB05458C6A}"/>
            </a:ext>
          </a:extLst>
        </xdr:cNvPr>
        <xdr:cNvSpPr txBox="1"/>
      </xdr:nvSpPr>
      <xdr:spPr>
        <a:xfrm>
          <a:off x="2638425" y="2676526"/>
          <a:ext cx="9848850" cy="12953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There are three sheets to complete</a:t>
          </a:r>
          <a:r>
            <a:rPr lang="en-GB" sz="1100" b="0"/>
            <a:t>,</a:t>
          </a:r>
          <a:r>
            <a:rPr lang="en-GB" sz="1100" b="0" baseline="0"/>
            <a:t>  you can use the tab key to move to the next cell on each page</a:t>
          </a:r>
        </a:p>
        <a:p>
          <a:endParaRPr lang="en-GB" sz="1100"/>
        </a:p>
        <a:p>
          <a:r>
            <a:rPr lang="en-GB" sz="1100"/>
            <a:t>1  Listed Activity - This is where you</a:t>
          </a:r>
          <a:r>
            <a:rPr lang="en-GB" sz="1100" baseline="0"/>
            <a:t> tell us about the Part A(1) listed activities that you operate. </a:t>
          </a:r>
        </a:p>
        <a:p>
          <a:r>
            <a:rPr lang="en-GB" sz="1100" baseline="0"/>
            <a:t>2 Other activities - This is where you tell us which Part A(2), Part B, Medium Combustion Plant, Specified Generator or Waste activities you operate as part of the Installation. </a:t>
          </a:r>
        </a:p>
        <a:p>
          <a:r>
            <a:rPr lang="en-GB" sz="1100" baseline="0"/>
            <a:t>3 New application - The information from sheets 1 and 2 is automatically transferred to this sheet. You then need to answer the questions about aspects which may make the determination more complex and enter the additional assessments you are providing. The charge is shown at the end of this sheet. </a:t>
          </a:r>
        </a:p>
        <a:p>
          <a:endParaRPr lang="en-GB" sz="1100" baseline="0"/>
        </a:p>
        <a:p>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995539</xdr:colOff>
      <xdr:row>2</xdr:row>
      <xdr:rowOff>172861</xdr:rowOff>
    </xdr:from>
    <xdr:to>
      <xdr:col>13</xdr:col>
      <xdr:colOff>706</xdr:colOff>
      <xdr:row>7</xdr:row>
      <xdr:rowOff>111125</xdr:rowOff>
    </xdr:to>
    <xdr:pic>
      <xdr:nvPicPr>
        <xdr:cNvPr id="6" name="Picture 3" descr="NRW logo ">
          <a:extLst>
            <a:ext uri="{FF2B5EF4-FFF2-40B4-BE49-F238E27FC236}">
              <a16:creationId xmlns:a16="http://schemas.microsoft.com/office/drawing/2014/main" id="{00000000-0008-0000-0000-000006000000}"/>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17706" y="567972"/>
          <a:ext cx="1295047" cy="901700"/>
        </a:xfrm>
        <a:prstGeom prst="rect">
          <a:avLst/>
        </a:prstGeom>
        <a:noFill/>
        <a:ln w="19050">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161925</xdr:colOff>
      <xdr:row>102</xdr:row>
      <xdr:rowOff>76200</xdr:rowOff>
    </xdr:from>
    <xdr:to>
      <xdr:col>22</xdr:col>
      <xdr:colOff>55524</xdr:colOff>
      <xdr:row>118</xdr:row>
      <xdr:rowOff>34926</xdr:rowOff>
    </xdr:to>
    <xdr:pic>
      <xdr:nvPicPr>
        <xdr:cNvPr id="2" name="Picture 1">
          <a:extLst>
            <a:ext uri="{FF2B5EF4-FFF2-40B4-BE49-F238E27FC236}">
              <a16:creationId xmlns:a16="http://schemas.microsoft.com/office/drawing/2014/main" id="{CE95EEB6-A9E9-4355-988B-8EA8B4117223}"/>
            </a:ext>
          </a:extLst>
        </xdr:cNvPr>
        <xdr:cNvPicPr>
          <a:picLocks noChangeAspect="1"/>
        </xdr:cNvPicPr>
      </xdr:nvPicPr>
      <xdr:blipFill rotWithShape="1">
        <a:blip xmlns:r="http://schemas.openxmlformats.org/officeDocument/2006/relationships" r:embed="rId1"/>
        <a:srcRect l="30312" t="19664" b="38273"/>
        <a:stretch/>
      </xdr:blipFill>
      <xdr:spPr>
        <a:xfrm>
          <a:off x="7419975" y="19697700"/>
          <a:ext cx="9066174" cy="3076576"/>
        </a:xfrm>
        <a:prstGeom prst="rect">
          <a:avLst/>
        </a:prstGeom>
      </xdr:spPr>
    </xdr:pic>
    <xdr:clientData/>
  </xdr:twoCellAnchor>
  <xdr:twoCellAnchor>
    <xdr:from>
      <xdr:col>12</xdr:col>
      <xdr:colOff>114300</xdr:colOff>
      <xdr:row>121</xdr:row>
      <xdr:rowOff>57150</xdr:rowOff>
    </xdr:from>
    <xdr:to>
      <xdr:col>21</xdr:col>
      <xdr:colOff>190500</xdr:colOff>
      <xdr:row>133</xdr:row>
      <xdr:rowOff>76200</xdr:rowOff>
    </xdr:to>
    <xdr:sp macro="" textlink="">
      <xdr:nvSpPr>
        <xdr:cNvPr id="4" name="TextBox 3">
          <a:extLst>
            <a:ext uri="{FF2B5EF4-FFF2-40B4-BE49-F238E27FC236}">
              <a16:creationId xmlns:a16="http://schemas.microsoft.com/office/drawing/2014/main" id="{448F4578-5E82-4FE9-A49A-AB8F9067E2DA}"/>
            </a:ext>
          </a:extLst>
        </xdr:cNvPr>
        <xdr:cNvSpPr txBox="1"/>
      </xdr:nvSpPr>
      <xdr:spPr>
        <a:xfrm>
          <a:off x="8591550" y="23164800"/>
          <a:ext cx="7200900" cy="211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But -- see</a:t>
          </a:r>
          <a:r>
            <a:rPr lang="en-GB" sz="1100" baseline="0"/>
            <a:t> also paragraph 5 </a:t>
          </a:r>
        </a:p>
        <a:p>
          <a:endParaRPr lang="en-GB" sz="1100" baseline="0"/>
        </a:p>
        <a:p>
          <a:r>
            <a:rPr lang="en-GB" sz="1100" baseline="0"/>
            <a:t>An activity falling within sub-paragraph 4 (list above) is NOT a specificed waste management activity if..</a:t>
          </a:r>
        </a:p>
        <a:p>
          <a:endParaRPr lang="en-GB" sz="1100" baseline="0"/>
        </a:p>
        <a:p>
          <a:r>
            <a:rPr lang="en-GB" sz="1100" baseline="0"/>
            <a:t>a) it is carried on at the same installation as a Part A(1) activity not mentioned in sub-paragraph 4; and </a:t>
          </a:r>
        </a:p>
        <a:p>
          <a:r>
            <a:rPr lang="en-GB" sz="1100" baseline="0"/>
            <a:t>b) it is not the primary purpose for operating the installation</a:t>
          </a:r>
        </a:p>
        <a:p>
          <a:endParaRPr lang="en-GB" sz="1100" baseline="0"/>
        </a:p>
        <a:p>
          <a:r>
            <a:rPr lang="en-GB" sz="1100" baseline="0"/>
            <a:t>So, TCM only applies for those activities if they're the primary one on the installation.   </a:t>
          </a: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ppcb.jrc.ec.europa.eu/referenc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assets.publishing.service.gov.uk/government/uploads/system/uploads/attachment_data/file/935917/environmental-permitting-core-guidance.pdf"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legislation.gov.uk/uksi/2018/1227/made" TargetMode="External"/><Relationship Id="rId1" Type="http://schemas.openxmlformats.org/officeDocument/2006/relationships/hyperlink" Target="https://eippcb.jrc.ec.europa.eu/referenc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96933-F489-466F-98DA-B70D8A784AA8}">
  <dimension ref="A1:U53"/>
  <sheetViews>
    <sheetView zoomScaleNormal="100" workbookViewId="0">
      <selection activeCell="C2" sqref="C2"/>
    </sheetView>
  </sheetViews>
  <sheetFormatPr defaultRowHeight="14.4" x14ac:dyDescent="0.3"/>
  <cols>
    <col min="2" max="2" width="29.88671875" customWidth="1"/>
    <col min="3" max="3" width="13.109375" customWidth="1"/>
    <col min="4" max="4" width="123.33203125" customWidth="1"/>
  </cols>
  <sheetData>
    <row r="1" spans="1:21" ht="15" thickBot="1" x14ac:dyDescent="0.35">
      <c r="A1" s="34"/>
      <c r="B1" s="34"/>
      <c r="C1" s="34"/>
      <c r="D1" s="34"/>
      <c r="E1" s="34"/>
      <c r="F1" s="34"/>
      <c r="G1" s="34"/>
      <c r="H1" s="34"/>
      <c r="I1" s="34"/>
      <c r="J1" s="34"/>
      <c r="K1" s="34"/>
      <c r="L1" s="34"/>
      <c r="M1" s="34"/>
      <c r="N1" s="34"/>
      <c r="O1" s="34"/>
      <c r="P1" s="34"/>
      <c r="Q1" s="34"/>
      <c r="R1" s="34"/>
      <c r="S1" s="34"/>
      <c r="T1" s="34"/>
      <c r="U1" s="34"/>
    </row>
    <row r="2" spans="1:21" ht="21" customHeight="1" thickBot="1" x14ac:dyDescent="0.35">
      <c r="A2" s="34"/>
      <c r="B2" s="293" t="s">
        <v>0</v>
      </c>
      <c r="C2" s="294" t="str">
        <f>'3 New Application'!C2</f>
        <v>NRW SRoC v2 2024-25</v>
      </c>
      <c r="D2" s="294"/>
      <c r="E2" s="295"/>
      <c r="F2" s="34"/>
      <c r="G2" s="34"/>
      <c r="H2" s="34"/>
      <c r="I2" s="34"/>
      <c r="J2" s="34"/>
      <c r="K2" s="34"/>
      <c r="L2" s="34"/>
      <c r="M2" s="34"/>
      <c r="N2" s="34"/>
      <c r="O2" s="34"/>
      <c r="P2" s="34"/>
      <c r="Q2" s="34"/>
      <c r="R2" s="34"/>
      <c r="S2" s="34"/>
      <c r="T2" s="34"/>
      <c r="U2" s="34"/>
    </row>
    <row r="3" spans="1:21" ht="289.5" customHeight="1" x14ac:dyDescent="0.3">
      <c r="A3" s="34"/>
      <c r="B3" s="34"/>
      <c r="C3" s="34"/>
      <c r="D3" s="252"/>
      <c r="E3" s="34"/>
      <c r="F3" s="34"/>
      <c r="G3" s="34"/>
      <c r="H3" s="34"/>
      <c r="I3" s="34"/>
      <c r="J3" s="34"/>
      <c r="K3" s="34"/>
      <c r="L3" s="34"/>
      <c r="M3" s="34"/>
      <c r="N3" s="34"/>
      <c r="O3" s="34"/>
      <c r="P3" s="34"/>
      <c r="Q3" s="34"/>
      <c r="R3" s="34"/>
      <c r="S3" s="34"/>
      <c r="T3" s="34"/>
      <c r="U3" s="34"/>
    </row>
    <row r="4" spans="1:21" x14ac:dyDescent="0.3">
      <c r="A4" s="34"/>
      <c r="B4" s="34"/>
      <c r="C4" s="34"/>
      <c r="D4" s="34"/>
      <c r="E4" s="34"/>
      <c r="F4" s="34"/>
      <c r="G4" s="34"/>
      <c r="H4" s="34"/>
      <c r="I4" s="34"/>
      <c r="J4" s="34"/>
      <c r="K4" s="34"/>
      <c r="L4" s="34"/>
      <c r="M4" s="34"/>
      <c r="N4" s="34"/>
      <c r="O4" s="34"/>
      <c r="P4" s="34"/>
      <c r="Q4" s="34"/>
      <c r="R4" s="34"/>
      <c r="S4" s="34"/>
      <c r="T4" s="34"/>
      <c r="U4" s="34"/>
    </row>
    <row r="5" spans="1:21" ht="24.9" customHeight="1" x14ac:dyDescent="0.3">
      <c r="A5" s="34"/>
      <c r="B5" s="292" t="s">
        <v>1</v>
      </c>
      <c r="C5" s="292" t="s">
        <v>2</v>
      </c>
      <c r="D5" s="292" t="s">
        <v>3</v>
      </c>
      <c r="E5" s="112"/>
      <c r="F5" s="206"/>
      <c r="G5" s="206"/>
      <c r="H5" s="206"/>
      <c r="I5" s="206"/>
      <c r="J5" s="206"/>
      <c r="K5" s="34"/>
      <c r="L5" s="34"/>
      <c r="M5" s="34"/>
      <c r="N5" s="34"/>
      <c r="O5" s="34"/>
      <c r="P5" s="34"/>
      <c r="Q5" s="34"/>
      <c r="R5" s="34"/>
      <c r="S5" s="34"/>
      <c r="T5" s="34"/>
      <c r="U5" s="34"/>
    </row>
    <row r="6" spans="1:21" ht="95.25" customHeight="1" x14ac:dyDescent="0.3">
      <c r="A6" s="254"/>
      <c r="B6" s="281" t="s">
        <v>4</v>
      </c>
      <c r="C6" s="297" t="s">
        <v>5</v>
      </c>
      <c r="D6" s="282" t="s">
        <v>6</v>
      </c>
      <c r="E6" s="253"/>
      <c r="F6" s="256"/>
      <c r="G6" s="257"/>
      <c r="H6" s="318" t="s">
        <v>7</v>
      </c>
      <c r="I6" s="318"/>
      <c r="J6" s="318"/>
      <c r="K6" s="318"/>
      <c r="L6" s="258"/>
      <c r="M6" s="258"/>
      <c r="N6" s="258"/>
      <c r="O6" s="258"/>
      <c r="P6" s="259"/>
      <c r="Q6" s="34"/>
      <c r="R6" s="34"/>
      <c r="S6" s="34"/>
      <c r="T6" s="34"/>
      <c r="U6" s="34"/>
    </row>
    <row r="7" spans="1:21" ht="28.5" customHeight="1" x14ac:dyDescent="0.3">
      <c r="A7" s="254"/>
      <c r="B7" s="285" t="s">
        <v>8</v>
      </c>
      <c r="C7" s="255" t="s">
        <v>9</v>
      </c>
      <c r="D7" s="280" t="s">
        <v>10</v>
      </c>
      <c r="E7" s="34"/>
      <c r="F7" s="260"/>
      <c r="G7" s="261"/>
      <c r="H7" s="261"/>
      <c r="I7" s="261"/>
      <c r="J7" s="261"/>
      <c r="K7" s="261"/>
      <c r="L7" s="261"/>
      <c r="M7" s="261"/>
      <c r="N7" s="261"/>
      <c r="O7" s="261"/>
      <c r="P7" s="262"/>
      <c r="Q7" s="34"/>
      <c r="R7" s="34"/>
      <c r="S7" s="34"/>
      <c r="T7" s="34"/>
      <c r="U7" s="34"/>
    </row>
    <row r="8" spans="1:21" ht="37.5" customHeight="1" x14ac:dyDescent="0.3">
      <c r="A8" s="254"/>
      <c r="B8" s="254"/>
      <c r="C8" s="255" t="s">
        <v>11</v>
      </c>
      <c r="D8" s="280" t="s">
        <v>12</v>
      </c>
      <c r="E8" s="34"/>
      <c r="F8" s="263"/>
      <c r="G8" s="264"/>
      <c r="H8" s="265"/>
      <c r="I8" s="319" t="s">
        <v>13</v>
      </c>
      <c r="J8" s="320"/>
      <c r="K8" s="320"/>
      <c r="L8" s="321"/>
      <c r="M8" s="261"/>
      <c r="N8" s="261"/>
      <c r="O8" s="261"/>
      <c r="P8" s="262"/>
      <c r="Q8" s="34"/>
      <c r="R8" s="34"/>
      <c r="S8" s="34"/>
      <c r="T8" s="34"/>
      <c r="U8" s="34"/>
    </row>
    <row r="9" spans="1:21" ht="21" customHeight="1" x14ac:dyDescent="0.3">
      <c r="A9" s="254"/>
      <c r="B9" s="254"/>
      <c r="C9" s="255" t="s">
        <v>14</v>
      </c>
      <c r="D9" s="280" t="s">
        <v>15</v>
      </c>
      <c r="E9" s="34"/>
      <c r="F9" s="263"/>
      <c r="G9" s="266" t="s">
        <v>16</v>
      </c>
      <c r="H9" s="261"/>
      <c r="I9" s="267">
        <v>0</v>
      </c>
      <c r="J9" s="268">
        <v>1</v>
      </c>
      <c r="K9" s="268">
        <v>2</v>
      </c>
      <c r="L9" s="269" t="s">
        <v>17</v>
      </c>
      <c r="M9" s="261"/>
      <c r="N9" s="261"/>
      <c r="O9" s="261"/>
      <c r="P9" s="262"/>
      <c r="Q9" s="34"/>
      <c r="R9" s="34"/>
      <c r="S9" s="34"/>
      <c r="T9" s="34"/>
      <c r="U9" s="34"/>
    </row>
    <row r="10" spans="1:21" ht="18.75" customHeight="1" x14ac:dyDescent="0.3">
      <c r="A10" s="254"/>
      <c r="B10" s="254"/>
      <c r="C10" s="255" t="s">
        <v>18</v>
      </c>
      <c r="D10" s="280" t="s">
        <v>19</v>
      </c>
      <c r="E10" s="34"/>
      <c r="F10" s="263"/>
      <c r="G10" s="260" t="s">
        <v>20</v>
      </c>
      <c r="H10" s="261"/>
      <c r="I10" s="267">
        <v>0</v>
      </c>
      <c r="J10" s="268">
        <v>1</v>
      </c>
      <c r="K10" s="268">
        <v>2</v>
      </c>
      <c r="L10" s="269" t="s">
        <v>17</v>
      </c>
      <c r="M10" s="261"/>
      <c r="N10" s="261"/>
      <c r="O10" s="261"/>
      <c r="P10" s="262"/>
      <c r="Q10" s="34"/>
      <c r="R10" s="34"/>
      <c r="S10" s="34"/>
      <c r="T10" s="34"/>
      <c r="U10" s="34"/>
    </row>
    <row r="11" spans="1:21" ht="24.75" customHeight="1" x14ac:dyDescent="0.3">
      <c r="A11" s="254"/>
      <c r="B11" s="254"/>
      <c r="C11" s="255" t="s">
        <v>21</v>
      </c>
      <c r="D11" s="280" t="s">
        <v>22</v>
      </c>
      <c r="E11" s="34"/>
      <c r="F11" s="263"/>
      <c r="G11" s="260" t="s">
        <v>23</v>
      </c>
      <c r="H11" s="261"/>
      <c r="I11" s="270">
        <v>0</v>
      </c>
      <c r="J11" s="271" t="s">
        <v>24</v>
      </c>
      <c r="K11" s="272" t="s">
        <v>25</v>
      </c>
      <c r="L11" s="273" t="s">
        <v>26</v>
      </c>
      <c r="M11" s="261"/>
      <c r="N11" s="261"/>
      <c r="O11" s="261"/>
      <c r="P11" s="262"/>
      <c r="Q11" s="34"/>
      <c r="R11" s="34"/>
      <c r="S11" s="34"/>
      <c r="T11" s="34"/>
      <c r="U11" s="34"/>
    </row>
    <row r="12" spans="1:21" ht="21.75" customHeight="1" x14ac:dyDescent="0.3">
      <c r="A12" s="254"/>
      <c r="B12" s="254"/>
      <c r="C12" s="255" t="s">
        <v>27</v>
      </c>
      <c r="D12" s="280" t="s">
        <v>28</v>
      </c>
      <c r="E12" s="34"/>
      <c r="F12" s="263"/>
      <c r="G12" s="260"/>
      <c r="H12" s="261"/>
      <c r="I12" s="267"/>
      <c r="J12" s="268"/>
      <c r="K12" s="268"/>
      <c r="L12" s="269"/>
      <c r="M12" s="261"/>
      <c r="N12" s="261"/>
      <c r="O12" s="261"/>
      <c r="P12" s="262"/>
      <c r="Q12" s="34"/>
      <c r="R12" s="34"/>
      <c r="S12" s="34"/>
      <c r="T12" s="34"/>
      <c r="U12" s="34"/>
    </row>
    <row r="13" spans="1:21" ht="21" customHeight="1" x14ac:dyDescent="0.3">
      <c r="A13" s="254"/>
      <c r="B13" s="254"/>
      <c r="C13" s="255" t="s">
        <v>29</v>
      </c>
      <c r="D13" s="280" t="s">
        <v>30</v>
      </c>
      <c r="E13" s="34"/>
      <c r="F13" s="263"/>
      <c r="G13" s="274"/>
      <c r="H13" s="275" t="s">
        <v>31</v>
      </c>
      <c r="I13" s="276">
        <v>0</v>
      </c>
      <c r="J13" s="277">
        <v>1</v>
      </c>
      <c r="K13" s="277">
        <v>2</v>
      </c>
      <c r="L13" s="278">
        <v>3</v>
      </c>
      <c r="M13" s="261"/>
      <c r="N13" s="261"/>
      <c r="O13" s="261"/>
      <c r="P13" s="262"/>
      <c r="Q13" s="34"/>
      <c r="R13" s="34"/>
      <c r="S13" s="34"/>
      <c r="T13" s="34"/>
      <c r="U13" s="34"/>
    </row>
    <row r="14" spans="1:21" ht="21" customHeight="1" x14ac:dyDescent="0.3">
      <c r="A14" s="254"/>
      <c r="B14" s="254"/>
      <c r="C14" s="255"/>
      <c r="D14" s="302" t="s">
        <v>32</v>
      </c>
      <c r="E14" s="34"/>
      <c r="F14" s="260"/>
      <c r="G14" s="261"/>
      <c r="H14" s="261"/>
      <c r="I14" s="268"/>
      <c r="J14" s="268"/>
      <c r="K14" s="268"/>
      <c r="L14" s="268"/>
      <c r="M14" s="261"/>
      <c r="N14" s="261"/>
      <c r="O14" s="261"/>
      <c r="P14" s="262"/>
      <c r="Q14" s="34"/>
      <c r="R14" s="34"/>
      <c r="S14" s="34"/>
      <c r="T14" s="34"/>
      <c r="U14" s="34"/>
    </row>
    <row r="15" spans="1:21" ht="35.25" customHeight="1" x14ac:dyDescent="0.3">
      <c r="A15" s="254"/>
      <c r="B15" s="254"/>
      <c r="C15" s="284" t="s">
        <v>33</v>
      </c>
      <c r="D15" s="280" t="s">
        <v>34</v>
      </c>
      <c r="E15" s="34"/>
      <c r="F15" s="260"/>
      <c r="G15" s="261"/>
      <c r="H15" s="261"/>
      <c r="I15" s="261"/>
      <c r="J15" s="261"/>
      <c r="K15" s="261"/>
      <c r="L15" s="261"/>
      <c r="M15" s="261"/>
      <c r="N15" s="261"/>
      <c r="O15" s="261"/>
      <c r="P15" s="262"/>
      <c r="Q15" s="34"/>
      <c r="R15" s="34"/>
      <c r="S15" s="34"/>
      <c r="T15" s="34"/>
      <c r="U15" s="34"/>
    </row>
    <row r="16" spans="1:21" x14ac:dyDescent="0.3">
      <c r="A16" s="254"/>
      <c r="B16" s="254"/>
      <c r="C16" s="255"/>
      <c r="D16" s="280"/>
      <c r="E16" s="34"/>
      <c r="F16" s="260"/>
      <c r="G16" s="261" t="s">
        <v>35</v>
      </c>
      <c r="H16" s="261"/>
      <c r="I16" s="261"/>
      <c r="J16" s="261"/>
      <c r="K16" s="261"/>
      <c r="L16" s="261"/>
      <c r="M16" s="261"/>
      <c r="N16" s="261"/>
      <c r="O16" s="261"/>
      <c r="P16" s="262"/>
      <c r="Q16" s="34"/>
      <c r="R16" s="34"/>
      <c r="S16" s="34"/>
      <c r="T16" s="34"/>
      <c r="U16" s="34"/>
    </row>
    <row r="17" spans="1:21" ht="43.2" x14ac:dyDescent="0.3">
      <c r="A17" s="254"/>
      <c r="B17" s="254"/>
      <c r="C17" s="255"/>
      <c r="D17" s="286" t="s">
        <v>36</v>
      </c>
      <c r="E17" s="34"/>
      <c r="F17" s="260"/>
      <c r="G17" s="261"/>
      <c r="H17" s="261"/>
      <c r="I17" s="261"/>
      <c r="J17" s="261"/>
      <c r="K17" s="261"/>
      <c r="L17" s="261"/>
      <c r="M17" s="261"/>
      <c r="N17" s="261"/>
      <c r="O17" s="261"/>
      <c r="P17" s="262"/>
      <c r="Q17" s="34"/>
      <c r="R17" s="34"/>
      <c r="S17" s="34"/>
      <c r="T17" s="34"/>
      <c r="U17" s="34"/>
    </row>
    <row r="18" spans="1:21" x14ac:dyDescent="0.3">
      <c r="A18" s="254"/>
      <c r="B18" s="283"/>
      <c r="C18" s="283"/>
      <c r="D18" s="283"/>
      <c r="E18" s="34"/>
      <c r="F18" s="260"/>
      <c r="G18" s="261" t="s">
        <v>37</v>
      </c>
      <c r="H18" s="261" t="s">
        <v>38</v>
      </c>
      <c r="I18" s="261"/>
      <c r="J18" s="261"/>
      <c r="K18" s="261"/>
      <c r="L18" s="261"/>
      <c r="M18" s="261"/>
      <c r="N18" s="261"/>
      <c r="O18" s="261"/>
      <c r="P18" s="262"/>
      <c r="Q18" s="34"/>
      <c r="R18" s="34"/>
      <c r="S18" s="34"/>
      <c r="T18" s="34"/>
      <c r="U18" s="34"/>
    </row>
    <row r="19" spans="1:21" x14ac:dyDescent="0.3">
      <c r="A19" s="254"/>
      <c r="B19" s="254"/>
      <c r="C19" s="255"/>
      <c r="D19" s="255"/>
      <c r="E19" s="34"/>
      <c r="F19" s="260"/>
      <c r="G19" s="261" t="s">
        <v>39</v>
      </c>
      <c r="H19" s="261" t="s">
        <v>40</v>
      </c>
      <c r="I19" s="261"/>
      <c r="J19" s="261"/>
      <c r="K19" s="261"/>
      <c r="L19" s="261"/>
      <c r="M19" s="261"/>
      <c r="N19" s="261"/>
      <c r="O19" s="261"/>
      <c r="P19" s="262"/>
      <c r="Q19" s="34"/>
      <c r="R19" s="34"/>
      <c r="S19" s="34"/>
      <c r="T19" s="34"/>
      <c r="U19" s="34"/>
    </row>
    <row r="20" spans="1:21" ht="21" customHeight="1" x14ac:dyDescent="0.3">
      <c r="A20" s="254"/>
      <c r="B20" s="285" t="s">
        <v>41</v>
      </c>
      <c r="C20" s="255" t="s">
        <v>14</v>
      </c>
      <c r="D20" s="255" t="s">
        <v>42</v>
      </c>
      <c r="E20" s="34"/>
      <c r="F20" s="260"/>
      <c r="G20" s="261" t="s">
        <v>43</v>
      </c>
      <c r="H20" s="261" t="s">
        <v>44</v>
      </c>
      <c r="I20" s="261" t="s">
        <v>45</v>
      </c>
      <c r="J20" s="261"/>
      <c r="K20" s="261"/>
      <c r="L20" s="261"/>
      <c r="M20" s="261"/>
      <c r="N20" s="261"/>
      <c r="O20" s="261"/>
      <c r="P20" s="262"/>
      <c r="Q20" s="34"/>
      <c r="R20" s="34"/>
      <c r="S20" s="34"/>
      <c r="T20" s="34"/>
      <c r="U20" s="34"/>
    </row>
    <row r="21" spans="1:21" ht="55.5" customHeight="1" x14ac:dyDescent="0.3">
      <c r="A21" s="254"/>
      <c r="B21" s="254"/>
      <c r="C21" s="255" t="s">
        <v>46</v>
      </c>
      <c r="D21" s="280" t="s">
        <v>47</v>
      </c>
      <c r="E21" s="34"/>
      <c r="F21" s="260"/>
      <c r="G21" s="261"/>
      <c r="H21" s="261"/>
      <c r="I21" s="261"/>
      <c r="J21" s="261"/>
      <c r="K21" s="261"/>
      <c r="L21" s="261"/>
      <c r="M21" s="261"/>
      <c r="N21" s="261"/>
      <c r="O21" s="261"/>
      <c r="P21" s="262"/>
      <c r="Q21" s="34"/>
      <c r="R21" s="34"/>
      <c r="S21" s="34"/>
      <c r="T21" s="34"/>
      <c r="U21" s="34"/>
    </row>
    <row r="22" spans="1:21" ht="37.5" customHeight="1" x14ac:dyDescent="0.3">
      <c r="A22" s="254"/>
      <c r="B22" s="254"/>
      <c r="C22" s="34"/>
      <c r="D22" s="280" t="s">
        <v>48</v>
      </c>
      <c r="E22" s="34"/>
      <c r="F22" s="322" t="s">
        <v>49</v>
      </c>
      <c r="G22" s="323"/>
      <c r="H22" s="323"/>
      <c r="I22" s="323"/>
      <c r="J22" s="323"/>
      <c r="K22" s="323"/>
      <c r="L22" s="323"/>
      <c r="M22" s="323"/>
      <c r="N22" s="323"/>
      <c r="O22" s="323"/>
      <c r="P22" s="324"/>
      <c r="Q22" s="34"/>
      <c r="R22" s="34"/>
      <c r="S22" s="34"/>
      <c r="T22" s="34"/>
      <c r="U22" s="34"/>
    </row>
    <row r="23" spans="1:21" ht="25.5" customHeight="1" x14ac:dyDescent="0.3">
      <c r="A23" s="254"/>
      <c r="B23" s="254"/>
      <c r="C23" s="255" t="s">
        <v>50</v>
      </c>
      <c r="D23" s="280" t="s">
        <v>51</v>
      </c>
      <c r="E23" s="34"/>
      <c r="F23" s="260"/>
      <c r="G23" s="261"/>
      <c r="H23" s="261"/>
      <c r="I23" s="261"/>
      <c r="J23" s="261"/>
      <c r="K23" s="261"/>
      <c r="L23" s="261"/>
      <c r="M23" s="261"/>
      <c r="N23" s="261"/>
      <c r="O23" s="261"/>
      <c r="P23" s="262"/>
      <c r="Q23" s="34"/>
      <c r="R23" s="34"/>
      <c r="S23" s="34"/>
      <c r="T23" s="34"/>
      <c r="U23" s="34"/>
    </row>
    <row r="24" spans="1:21" ht="20.25" customHeight="1" x14ac:dyDescent="0.3">
      <c r="A24" s="254"/>
      <c r="B24" s="254"/>
      <c r="C24" s="34"/>
      <c r="D24" s="280" t="s">
        <v>52</v>
      </c>
      <c r="E24" s="34"/>
      <c r="F24" s="322" t="s">
        <v>53</v>
      </c>
      <c r="G24" s="323"/>
      <c r="H24" s="323"/>
      <c r="I24" s="323"/>
      <c r="J24" s="323"/>
      <c r="K24" s="323"/>
      <c r="L24" s="323"/>
      <c r="M24" s="323"/>
      <c r="N24" s="323"/>
      <c r="O24" s="323"/>
      <c r="P24" s="324"/>
      <c r="Q24" s="34"/>
      <c r="R24" s="34"/>
      <c r="S24" s="34"/>
      <c r="T24" s="34"/>
      <c r="U24" s="34"/>
    </row>
    <row r="25" spans="1:21" ht="33" customHeight="1" x14ac:dyDescent="0.3">
      <c r="A25" s="254"/>
      <c r="B25" s="283"/>
      <c r="C25" s="283"/>
      <c r="D25" s="283"/>
      <c r="E25" s="34"/>
      <c r="F25" s="315" t="s">
        <v>54</v>
      </c>
      <c r="G25" s="316"/>
      <c r="H25" s="316"/>
      <c r="I25" s="316"/>
      <c r="J25" s="316"/>
      <c r="K25" s="316"/>
      <c r="L25" s="316"/>
      <c r="M25" s="316"/>
      <c r="N25" s="316"/>
      <c r="O25" s="316"/>
      <c r="P25" s="317"/>
      <c r="Q25" s="34"/>
      <c r="R25" s="34"/>
      <c r="S25" s="34"/>
      <c r="T25" s="34"/>
      <c r="U25" s="34"/>
    </row>
    <row r="26" spans="1:21" x14ac:dyDescent="0.3">
      <c r="A26" s="254"/>
      <c r="B26" s="254"/>
      <c r="C26" s="255"/>
      <c r="D26" s="255"/>
      <c r="E26" s="34"/>
      <c r="F26" s="260"/>
      <c r="G26" s="261"/>
      <c r="H26" s="261"/>
      <c r="I26" s="261"/>
      <c r="J26" s="261"/>
      <c r="K26" s="261"/>
      <c r="L26" s="261"/>
      <c r="M26" s="261"/>
      <c r="N26" s="261"/>
      <c r="O26" s="261"/>
      <c r="P26" s="262"/>
      <c r="Q26" s="34"/>
      <c r="R26" s="34"/>
      <c r="S26" s="34"/>
      <c r="T26" s="34"/>
      <c r="U26" s="34"/>
    </row>
    <row r="27" spans="1:21" ht="48" customHeight="1" x14ac:dyDescent="0.3">
      <c r="A27" s="254"/>
      <c r="B27" s="287" t="s">
        <v>55</v>
      </c>
      <c r="C27" s="313" t="s">
        <v>56</v>
      </c>
      <c r="D27" s="280" t="s">
        <v>57</v>
      </c>
      <c r="E27" s="34"/>
      <c r="F27" s="315" t="s">
        <v>58</v>
      </c>
      <c r="G27" s="316"/>
      <c r="H27" s="316"/>
      <c r="I27" s="316"/>
      <c r="J27" s="316"/>
      <c r="K27" s="316"/>
      <c r="L27" s="316"/>
      <c r="M27" s="316"/>
      <c r="N27" s="316"/>
      <c r="O27" s="316"/>
      <c r="P27" s="317"/>
      <c r="Q27" s="34"/>
      <c r="R27" s="34"/>
      <c r="S27" s="34"/>
      <c r="T27" s="34"/>
      <c r="U27" s="34"/>
    </row>
    <row r="28" spans="1:21" ht="39.75" customHeight="1" x14ac:dyDescent="0.3">
      <c r="A28" s="254"/>
      <c r="B28" s="287"/>
      <c r="C28" s="314"/>
      <c r="D28" s="288" t="s">
        <v>59</v>
      </c>
      <c r="E28" s="34"/>
      <c r="F28" s="274"/>
      <c r="G28" s="275"/>
      <c r="H28" s="275"/>
      <c r="I28" s="275"/>
      <c r="J28" s="275"/>
      <c r="K28" s="275"/>
      <c r="L28" s="275"/>
      <c r="M28" s="275"/>
      <c r="N28" s="275"/>
      <c r="O28" s="275"/>
      <c r="P28" s="279"/>
      <c r="Q28" s="34"/>
      <c r="R28" s="34"/>
      <c r="S28" s="34"/>
      <c r="T28" s="34"/>
      <c r="U28" s="34"/>
    </row>
    <row r="29" spans="1:21" ht="120" customHeight="1" x14ac:dyDescent="0.3">
      <c r="A29" s="254"/>
      <c r="B29" s="254"/>
      <c r="C29" s="284" t="s">
        <v>60</v>
      </c>
      <c r="D29" s="280" t="s">
        <v>61</v>
      </c>
      <c r="E29" s="34"/>
      <c r="F29" s="34"/>
      <c r="G29" s="34"/>
      <c r="H29" s="34"/>
      <c r="I29" s="34"/>
      <c r="J29" s="34"/>
      <c r="K29" s="34"/>
      <c r="L29" s="34"/>
      <c r="M29" s="34"/>
      <c r="N29" s="34"/>
      <c r="O29" s="34"/>
      <c r="P29" s="34"/>
      <c r="Q29" s="34"/>
      <c r="R29" s="34"/>
      <c r="S29" s="34"/>
      <c r="T29" s="34"/>
      <c r="U29" s="34"/>
    </row>
    <row r="30" spans="1:21" ht="38.25" customHeight="1" x14ac:dyDescent="0.3">
      <c r="A30" s="254"/>
      <c r="B30" s="254"/>
      <c r="C30" s="289"/>
      <c r="D30" s="290" t="s">
        <v>62</v>
      </c>
      <c r="E30" s="34"/>
      <c r="F30" s="34"/>
      <c r="G30" s="34"/>
      <c r="H30" s="34"/>
      <c r="I30" s="34"/>
      <c r="J30" s="34"/>
      <c r="K30" s="34"/>
      <c r="L30" s="34"/>
      <c r="M30" s="34"/>
      <c r="N30" s="34"/>
      <c r="O30" s="34"/>
      <c r="P30" s="34"/>
      <c r="Q30" s="34"/>
      <c r="R30" s="34"/>
      <c r="S30" s="34"/>
      <c r="T30" s="34"/>
      <c r="U30" s="34"/>
    </row>
    <row r="31" spans="1:21" ht="37.5" customHeight="1" x14ac:dyDescent="0.3">
      <c r="A31" s="254"/>
      <c r="B31" s="254"/>
      <c r="C31" s="291" t="s">
        <v>63</v>
      </c>
      <c r="D31" s="191" t="s">
        <v>64</v>
      </c>
      <c r="E31" s="34"/>
      <c r="F31" s="34"/>
      <c r="G31" s="34"/>
      <c r="H31" s="34"/>
      <c r="I31" s="34"/>
      <c r="J31" s="34"/>
      <c r="K31" s="34"/>
      <c r="L31" s="34"/>
      <c r="M31" s="34"/>
      <c r="N31" s="34"/>
      <c r="O31" s="34"/>
      <c r="P31" s="34"/>
      <c r="Q31" s="34"/>
      <c r="R31" s="34"/>
      <c r="S31" s="34"/>
      <c r="T31" s="34"/>
      <c r="U31" s="34"/>
    </row>
    <row r="32" spans="1:21" ht="40.5" customHeight="1" x14ac:dyDescent="0.3">
      <c r="A32" s="254"/>
      <c r="B32" s="254"/>
      <c r="C32" s="291" t="s">
        <v>65</v>
      </c>
      <c r="D32" s="191" t="s">
        <v>66</v>
      </c>
      <c r="E32" s="34"/>
      <c r="F32" s="34"/>
      <c r="G32" s="34"/>
      <c r="H32" s="34"/>
      <c r="I32" s="34"/>
      <c r="J32" s="34"/>
      <c r="K32" s="34"/>
      <c r="L32" s="34"/>
      <c r="M32" s="34"/>
      <c r="N32" s="34"/>
      <c r="O32" s="34"/>
      <c r="P32" s="34"/>
      <c r="Q32" s="34"/>
      <c r="R32" s="34"/>
      <c r="S32" s="34"/>
      <c r="T32" s="34"/>
      <c r="U32" s="34"/>
    </row>
    <row r="33" spans="1:21" ht="38.25" customHeight="1" x14ac:dyDescent="0.3">
      <c r="A33" s="254"/>
      <c r="B33" s="254"/>
      <c r="C33" s="284" t="s">
        <v>67</v>
      </c>
      <c r="D33" s="280" t="s">
        <v>68</v>
      </c>
      <c r="E33" s="34"/>
      <c r="F33" s="34"/>
      <c r="G33" s="34"/>
      <c r="H33" s="34"/>
      <c r="I33" s="34"/>
      <c r="J33" s="34"/>
      <c r="K33" s="34"/>
      <c r="L33" s="34"/>
      <c r="M33" s="34"/>
      <c r="N33" s="34"/>
      <c r="O33" s="34"/>
      <c r="P33" s="34"/>
      <c r="Q33" s="34"/>
      <c r="R33" s="34"/>
      <c r="S33" s="34"/>
      <c r="T33" s="34"/>
      <c r="U33" s="34"/>
    </row>
    <row r="34" spans="1:21" x14ac:dyDescent="0.3">
      <c r="A34" s="34"/>
      <c r="B34" s="255"/>
      <c r="C34" s="255"/>
      <c r="D34" s="255" t="s">
        <v>69</v>
      </c>
      <c r="E34" s="34"/>
      <c r="F34" s="34"/>
      <c r="G34" s="34"/>
      <c r="H34" s="34"/>
      <c r="I34" s="34"/>
      <c r="J34" s="34"/>
      <c r="K34" s="34"/>
      <c r="L34" s="34"/>
      <c r="M34" s="34"/>
      <c r="N34" s="34"/>
      <c r="O34" s="34"/>
      <c r="P34" s="34"/>
      <c r="Q34" s="34"/>
      <c r="R34" s="34"/>
      <c r="S34" s="34"/>
      <c r="T34" s="34"/>
      <c r="U34" s="34"/>
    </row>
    <row r="35" spans="1:21" x14ac:dyDescent="0.3">
      <c r="A35" s="34"/>
      <c r="B35" s="283"/>
      <c r="C35" s="283"/>
      <c r="D35" s="283"/>
      <c r="E35" s="34"/>
      <c r="F35" s="34"/>
      <c r="G35" s="34"/>
      <c r="H35" s="34"/>
      <c r="I35" s="34"/>
      <c r="J35" s="34"/>
      <c r="K35" s="34"/>
      <c r="L35" s="34"/>
      <c r="M35" s="34"/>
      <c r="N35" s="34"/>
      <c r="O35" s="34"/>
      <c r="P35" s="34"/>
      <c r="Q35" s="34"/>
      <c r="R35" s="34"/>
      <c r="S35" s="34"/>
      <c r="T35" s="34"/>
      <c r="U35" s="34"/>
    </row>
    <row r="36" spans="1:21" x14ac:dyDescent="0.3">
      <c r="A36" s="34"/>
      <c r="B36" s="34"/>
      <c r="C36" s="34"/>
      <c r="D36" s="34"/>
      <c r="E36" s="34"/>
      <c r="F36" s="34"/>
      <c r="G36" s="34"/>
      <c r="H36" s="34"/>
      <c r="I36" s="34"/>
      <c r="J36" s="34"/>
      <c r="K36" s="34"/>
      <c r="L36" s="34"/>
      <c r="M36" s="34"/>
      <c r="N36" s="34"/>
      <c r="O36" s="34"/>
      <c r="P36" s="34"/>
      <c r="Q36" s="34"/>
      <c r="R36" s="34"/>
      <c r="S36" s="34"/>
      <c r="T36" s="34"/>
      <c r="U36" s="34"/>
    </row>
    <row r="37" spans="1:21" x14ac:dyDescent="0.3">
      <c r="A37" s="34"/>
      <c r="B37" s="34"/>
      <c r="C37" s="34"/>
      <c r="D37" s="34"/>
      <c r="E37" s="34"/>
      <c r="F37" s="34"/>
      <c r="G37" s="34"/>
      <c r="H37" s="34"/>
      <c r="I37" s="34"/>
      <c r="J37" s="34"/>
      <c r="K37" s="34"/>
      <c r="L37" s="34"/>
      <c r="M37" s="34"/>
      <c r="N37" s="34"/>
      <c r="O37" s="34"/>
      <c r="P37" s="34"/>
      <c r="Q37" s="34"/>
      <c r="R37" s="34"/>
      <c r="S37" s="34"/>
      <c r="T37" s="34"/>
      <c r="U37" s="34"/>
    </row>
    <row r="38" spans="1:21" x14ac:dyDescent="0.3">
      <c r="A38" s="34"/>
      <c r="B38" s="34"/>
      <c r="C38" s="34"/>
      <c r="D38" s="34"/>
      <c r="E38" s="34"/>
      <c r="F38" s="34"/>
      <c r="G38" s="34"/>
      <c r="H38" s="34"/>
      <c r="I38" s="34"/>
      <c r="J38" s="34"/>
      <c r="K38" s="34"/>
      <c r="L38" s="34"/>
      <c r="M38" s="34"/>
      <c r="N38" s="34"/>
      <c r="O38" s="34"/>
      <c r="P38" s="34"/>
      <c r="Q38" s="34"/>
      <c r="R38" s="34"/>
      <c r="S38" s="34"/>
      <c r="T38" s="34"/>
      <c r="U38" s="34"/>
    </row>
    <row r="39" spans="1:21" x14ac:dyDescent="0.3">
      <c r="A39" s="34"/>
      <c r="B39" s="34"/>
      <c r="C39" s="34"/>
      <c r="D39" s="34"/>
      <c r="E39" s="34"/>
      <c r="F39" s="34"/>
      <c r="G39" s="34"/>
      <c r="H39" s="34"/>
      <c r="I39" s="34"/>
      <c r="J39" s="34"/>
      <c r="K39" s="34"/>
      <c r="L39" s="34"/>
      <c r="M39" s="34"/>
      <c r="N39" s="34"/>
      <c r="O39" s="34"/>
      <c r="P39" s="34"/>
      <c r="Q39" s="34"/>
      <c r="R39" s="34"/>
      <c r="S39" s="34"/>
      <c r="T39" s="34"/>
      <c r="U39" s="34"/>
    </row>
    <row r="40" spans="1:21" x14ac:dyDescent="0.3">
      <c r="A40" s="34"/>
      <c r="B40" s="34"/>
      <c r="C40" s="34"/>
      <c r="D40" s="34"/>
      <c r="E40" s="34"/>
      <c r="F40" s="34"/>
      <c r="G40" s="34"/>
      <c r="H40" s="34"/>
      <c r="I40" s="34"/>
      <c r="J40" s="34"/>
      <c r="K40" s="34"/>
      <c r="L40" s="34"/>
      <c r="M40" s="34"/>
      <c r="N40" s="34"/>
      <c r="O40" s="34"/>
      <c r="P40" s="34"/>
      <c r="Q40" s="34"/>
      <c r="R40" s="34"/>
      <c r="S40" s="34"/>
      <c r="T40" s="34"/>
      <c r="U40" s="34"/>
    </row>
    <row r="41" spans="1:21" x14ac:dyDescent="0.3">
      <c r="A41" s="34"/>
      <c r="B41" s="34"/>
      <c r="C41" s="34"/>
      <c r="D41" s="34"/>
      <c r="E41" s="34"/>
      <c r="F41" s="34"/>
      <c r="G41" s="34"/>
      <c r="H41" s="34"/>
      <c r="I41" s="34"/>
      <c r="J41" s="34"/>
      <c r="K41" s="34"/>
      <c r="L41" s="34"/>
      <c r="M41" s="34"/>
      <c r="N41" s="34"/>
      <c r="O41" s="34"/>
      <c r="P41" s="34"/>
      <c r="Q41" s="34"/>
      <c r="R41" s="34"/>
      <c r="S41" s="34"/>
      <c r="T41" s="34"/>
      <c r="U41" s="34"/>
    </row>
    <row r="42" spans="1:21" x14ac:dyDescent="0.3">
      <c r="A42" s="34"/>
      <c r="B42" s="34"/>
      <c r="C42" s="34"/>
      <c r="D42" s="34"/>
      <c r="E42" s="34"/>
      <c r="F42" s="34"/>
      <c r="G42" s="34"/>
      <c r="H42" s="34"/>
      <c r="I42" s="34"/>
      <c r="J42" s="34"/>
      <c r="K42" s="34"/>
      <c r="L42" s="34"/>
      <c r="M42" s="34"/>
      <c r="N42" s="34"/>
      <c r="O42" s="34"/>
      <c r="P42" s="34"/>
      <c r="Q42" s="34"/>
      <c r="R42" s="34"/>
      <c r="S42" s="34"/>
      <c r="T42" s="34"/>
      <c r="U42" s="34"/>
    </row>
    <row r="43" spans="1:21" x14ac:dyDescent="0.3">
      <c r="A43" s="34"/>
      <c r="B43" s="34"/>
      <c r="C43" s="34"/>
      <c r="D43" s="34"/>
      <c r="E43" s="34"/>
      <c r="F43" s="34"/>
      <c r="G43" s="34"/>
      <c r="H43" s="34"/>
      <c r="I43" s="34"/>
      <c r="J43" s="34"/>
      <c r="K43" s="34"/>
      <c r="L43" s="34"/>
      <c r="M43" s="34"/>
      <c r="N43" s="34"/>
      <c r="O43" s="34"/>
      <c r="P43" s="34"/>
      <c r="Q43" s="34"/>
      <c r="R43" s="34"/>
      <c r="S43" s="34"/>
      <c r="T43" s="34"/>
      <c r="U43" s="34"/>
    </row>
    <row r="44" spans="1:21" x14ac:dyDescent="0.3">
      <c r="A44" s="34"/>
      <c r="B44" s="34"/>
      <c r="C44" s="34"/>
      <c r="D44" s="34"/>
      <c r="E44" s="34"/>
      <c r="F44" s="34"/>
      <c r="G44" s="34"/>
      <c r="H44" s="34"/>
      <c r="I44" s="34"/>
      <c r="J44" s="34"/>
      <c r="K44" s="34"/>
      <c r="L44" s="34"/>
      <c r="M44" s="34"/>
      <c r="N44" s="34"/>
      <c r="O44" s="34"/>
      <c r="P44" s="34"/>
      <c r="Q44" s="34"/>
      <c r="R44" s="34"/>
      <c r="S44" s="34"/>
      <c r="T44" s="34"/>
      <c r="U44" s="34"/>
    </row>
    <row r="45" spans="1:21" x14ac:dyDescent="0.3">
      <c r="A45" s="34"/>
      <c r="B45" s="34"/>
      <c r="C45" s="34"/>
      <c r="D45" s="34"/>
      <c r="E45" s="34"/>
      <c r="F45" s="34"/>
      <c r="G45" s="34"/>
      <c r="H45" s="34"/>
      <c r="I45" s="34"/>
      <c r="J45" s="34"/>
      <c r="K45" s="34"/>
      <c r="L45" s="34"/>
      <c r="M45" s="34"/>
      <c r="N45" s="34"/>
      <c r="O45" s="34"/>
      <c r="P45" s="34"/>
      <c r="Q45" s="34"/>
      <c r="R45" s="34"/>
      <c r="S45" s="34"/>
      <c r="T45" s="34"/>
      <c r="U45" s="34"/>
    </row>
    <row r="46" spans="1:21" x14ac:dyDescent="0.3">
      <c r="A46" s="34"/>
      <c r="B46" s="34"/>
      <c r="C46" s="34"/>
      <c r="D46" s="34"/>
      <c r="E46" s="34"/>
      <c r="F46" s="34"/>
      <c r="G46" s="34"/>
      <c r="H46" s="34"/>
      <c r="I46" s="34"/>
      <c r="J46" s="34"/>
      <c r="K46" s="34"/>
      <c r="L46" s="34"/>
      <c r="M46" s="34"/>
      <c r="N46" s="34"/>
      <c r="O46" s="34"/>
      <c r="P46" s="34"/>
      <c r="Q46" s="34"/>
      <c r="R46" s="34"/>
      <c r="S46" s="34"/>
      <c r="T46" s="34"/>
      <c r="U46" s="34"/>
    </row>
    <row r="47" spans="1:21" x14ac:dyDescent="0.3">
      <c r="A47" s="34"/>
      <c r="B47" s="34"/>
      <c r="C47" s="34"/>
      <c r="D47" s="34"/>
      <c r="E47" s="34"/>
      <c r="F47" s="34"/>
      <c r="G47" s="34"/>
      <c r="H47" s="34"/>
      <c r="I47" s="34"/>
      <c r="J47" s="34"/>
      <c r="K47" s="34"/>
      <c r="L47" s="34"/>
      <c r="M47" s="34"/>
      <c r="N47" s="34"/>
      <c r="O47" s="34"/>
      <c r="P47" s="34"/>
      <c r="Q47" s="34"/>
      <c r="R47" s="34"/>
      <c r="S47" s="34"/>
      <c r="T47" s="34"/>
      <c r="U47" s="34"/>
    </row>
    <row r="48" spans="1:21" x14ac:dyDescent="0.3">
      <c r="A48" s="34"/>
      <c r="B48" s="34"/>
      <c r="C48" s="34"/>
      <c r="D48" s="34"/>
      <c r="E48" s="34"/>
      <c r="F48" s="34"/>
      <c r="G48" s="34"/>
      <c r="H48" s="34"/>
      <c r="I48" s="34"/>
      <c r="J48" s="34"/>
      <c r="K48" s="34"/>
      <c r="L48" s="34"/>
      <c r="M48" s="34"/>
      <c r="N48" s="34"/>
      <c r="O48" s="34"/>
      <c r="P48" s="34"/>
      <c r="Q48" s="34"/>
      <c r="R48" s="34"/>
      <c r="S48" s="34"/>
      <c r="T48" s="34"/>
      <c r="U48" s="34"/>
    </row>
    <row r="49" spans="1:21" x14ac:dyDescent="0.3">
      <c r="A49" s="34"/>
      <c r="B49" s="34"/>
      <c r="C49" s="34"/>
      <c r="D49" s="34"/>
      <c r="E49" s="34"/>
      <c r="F49" s="34"/>
      <c r="G49" s="34"/>
      <c r="H49" s="34"/>
      <c r="I49" s="34"/>
      <c r="J49" s="34"/>
      <c r="K49" s="34"/>
      <c r="L49" s="34"/>
      <c r="M49" s="34"/>
      <c r="N49" s="34"/>
      <c r="O49" s="34"/>
      <c r="P49" s="34"/>
      <c r="Q49" s="34"/>
      <c r="R49" s="34"/>
      <c r="S49" s="34"/>
      <c r="T49" s="34"/>
      <c r="U49" s="34"/>
    </row>
    <row r="50" spans="1:21" x14ac:dyDescent="0.3">
      <c r="A50" s="34"/>
      <c r="B50" s="34"/>
      <c r="C50" s="34"/>
      <c r="D50" s="34"/>
      <c r="E50" s="34"/>
      <c r="F50" s="34"/>
      <c r="G50" s="34"/>
      <c r="H50" s="34"/>
      <c r="I50" s="34"/>
      <c r="J50" s="34"/>
      <c r="K50" s="34"/>
      <c r="L50" s="34"/>
      <c r="M50" s="34"/>
      <c r="N50" s="34"/>
      <c r="O50" s="34"/>
      <c r="P50" s="34"/>
      <c r="Q50" s="34"/>
      <c r="R50" s="34"/>
      <c r="S50" s="34"/>
      <c r="T50" s="34"/>
      <c r="U50" s="34"/>
    </row>
    <row r="51" spans="1:21" x14ac:dyDescent="0.3">
      <c r="B51" s="34"/>
      <c r="C51" s="34"/>
      <c r="D51" s="34"/>
      <c r="E51" s="34"/>
      <c r="F51" s="34"/>
      <c r="G51" s="34"/>
      <c r="H51" s="34"/>
      <c r="I51" s="34"/>
      <c r="J51" s="34"/>
      <c r="K51" s="34"/>
      <c r="L51" s="34"/>
      <c r="M51" s="34"/>
      <c r="N51" s="34"/>
      <c r="O51" s="34"/>
      <c r="P51" s="34"/>
      <c r="Q51" s="34"/>
      <c r="R51" s="34"/>
      <c r="S51" s="34"/>
      <c r="T51" s="34"/>
      <c r="U51" s="34"/>
    </row>
    <row r="52" spans="1:21" x14ac:dyDescent="0.3">
      <c r="B52" s="34"/>
      <c r="C52" s="34"/>
      <c r="D52" s="34"/>
    </row>
    <row r="53" spans="1:21" x14ac:dyDescent="0.3">
      <c r="B53" s="34"/>
      <c r="C53" s="34"/>
      <c r="D53" s="34"/>
    </row>
  </sheetData>
  <sheetProtection algorithmName="SHA-512" hashValue="/ulzs3E6YyYqJ2e865X5pTsFn6takJ5xXN6auc1CRIUjHvZxwWA7PYeZxZYmDaB9ojS+zSauzUybrzHd5BG8eQ==" saltValue="ewjLIw+L+Q3pV5eihOER1w==" spinCount="100000" sheet="1" objects="1" scenarios="1"/>
  <mergeCells count="7">
    <mergeCell ref="C27:C28"/>
    <mergeCell ref="F27:P27"/>
    <mergeCell ref="H6:K6"/>
    <mergeCell ref="I8:L8"/>
    <mergeCell ref="F22:P22"/>
    <mergeCell ref="F24:P24"/>
    <mergeCell ref="F25:P25"/>
  </mergeCells>
  <hyperlinks>
    <hyperlink ref="D14" r:id="rId1" xr:uid="{6DD56378-A4CD-423D-A18F-DF428FCF7766}"/>
  </hyperlinks>
  <pageMargins left="0.7" right="0.7" top="0.75" bottom="0.75" header="0.3" footer="0.3"/>
  <pageSetup paperSize="9" orientation="portrait"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58C3D-934B-45EF-A9AE-2C6D2FE5A91A}">
  <sheetPr>
    <tabColor rgb="FF00B0F0"/>
  </sheetPr>
  <dimension ref="A1:Y34"/>
  <sheetViews>
    <sheetView zoomScaleNormal="100" workbookViewId="0">
      <selection activeCell="C14" sqref="C14"/>
    </sheetView>
  </sheetViews>
  <sheetFormatPr defaultRowHeight="14.4" x14ac:dyDescent="0.3"/>
  <cols>
    <col min="3" max="3" width="14.44140625" customWidth="1"/>
    <col min="4" max="4" width="12.5546875" customWidth="1"/>
    <col min="5" max="5" width="11.88671875" customWidth="1"/>
    <col min="6" max="6" width="12.109375" customWidth="1"/>
    <col min="7" max="7" width="12.33203125" customWidth="1"/>
    <col min="8" max="8" width="13.109375" customWidth="1"/>
    <col min="9" max="9" width="13.33203125" customWidth="1"/>
    <col min="10" max="10" width="12.109375" customWidth="1"/>
    <col min="11" max="11" width="16.109375" style="6" customWidth="1"/>
  </cols>
  <sheetData>
    <row r="1" spans="1:17" x14ac:dyDescent="0.3">
      <c r="A1" s="34"/>
      <c r="B1" s="34"/>
      <c r="C1" s="34"/>
      <c r="D1" s="34"/>
      <c r="E1" s="34"/>
      <c r="F1" s="34"/>
      <c r="G1" s="34"/>
      <c r="H1" s="34"/>
      <c r="I1" s="34"/>
      <c r="J1" s="34"/>
      <c r="K1" s="52"/>
      <c r="L1" s="34"/>
      <c r="M1" s="34"/>
      <c r="N1" s="34"/>
      <c r="O1" s="34"/>
      <c r="P1" s="34"/>
      <c r="Q1" s="34"/>
    </row>
    <row r="2" spans="1:17" ht="15" thickBot="1" x14ac:dyDescent="0.35">
      <c r="A2" s="34"/>
      <c r="B2" s="34"/>
      <c r="C2" s="34"/>
      <c r="D2" s="34"/>
      <c r="E2" s="34"/>
      <c r="F2" s="34"/>
      <c r="G2" s="34"/>
      <c r="H2" s="34"/>
      <c r="I2" s="34"/>
      <c r="J2" s="34"/>
      <c r="K2" s="52"/>
      <c r="L2" s="34"/>
      <c r="M2" s="34"/>
      <c r="N2" s="34"/>
      <c r="O2" s="34"/>
      <c r="P2" s="34"/>
      <c r="Q2" s="34"/>
    </row>
    <row r="3" spans="1:17" ht="15" thickBot="1" x14ac:dyDescent="0.35">
      <c r="A3" s="34"/>
      <c r="B3" s="293" t="s">
        <v>0</v>
      </c>
      <c r="C3" s="294" t="str">
        <f>'3 New Application'!C2</f>
        <v>NRW SRoC v2 2024-25</v>
      </c>
      <c r="D3" s="294"/>
      <c r="E3" s="295"/>
      <c r="F3" s="31"/>
      <c r="G3" s="31"/>
      <c r="H3" s="31"/>
      <c r="I3" s="31"/>
      <c r="J3" s="31"/>
      <c r="K3" s="32"/>
      <c r="L3" s="31"/>
      <c r="M3" s="31"/>
      <c r="N3" s="35"/>
      <c r="O3" s="34"/>
      <c r="P3" s="34"/>
      <c r="Q3" s="34"/>
    </row>
    <row r="4" spans="1:17" ht="15" customHeight="1" x14ac:dyDescent="0.3">
      <c r="A4" s="34"/>
      <c r="B4" s="33"/>
      <c r="C4" s="34"/>
      <c r="D4" s="325" t="s">
        <v>70</v>
      </c>
      <c r="E4" s="325"/>
      <c r="F4" s="325"/>
      <c r="G4" s="325"/>
      <c r="H4" s="325"/>
      <c r="I4" s="325"/>
      <c r="J4" s="34"/>
      <c r="K4" s="52"/>
      <c r="L4" s="34"/>
      <c r="M4" s="34"/>
      <c r="N4" s="36"/>
      <c r="O4" s="34"/>
      <c r="P4" s="34"/>
      <c r="Q4" s="34"/>
    </row>
    <row r="5" spans="1:17" ht="15" customHeight="1" x14ac:dyDescent="0.3">
      <c r="A5" s="34"/>
      <c r="B5" s="33"/>
      <c r="C5" s="90"/>
      <c r="D5" s="325"/>
      <c r="E5" s="325"/>
      <c r="F5" s="325"/>
      <c r="G5" s="325"/>
      <c r="H5" s="325"/>
      <c r="I5" s="325"/>
      <c r="J5" s="34"/>
      <c r="K5" s="52"/>
      <c r="L5" s="34"/>
      <c r="M5" s="34"/>
      <c r="N5" s="36"/>
      <c r="O5" s="34"/>
      <c r="P5" s="34"/>
      <c r="Q5" s="34"/>
    </row>
    <row r="6" spans="1:17" ht="15" customHeight="1" x14ac:dyDescent="0.3">
      <c r="A6" s="34"/>
      <c r="B6" s="33"/>
      <c r="C6" s="90"/>
      <c r="D6" s="325"/>
      <c r="E6" s="325"/>
      <c r="F6" s="325"/>
      <c r="G6" s="325"/>
      <c r="H6" s="325"/>
      <c r="I6" s="325"/>
      <c r="J6" s="34"/>
      <c r="K6" s="52"/>
      <c r="L6" s="34"/>
      <c r="M6" s="34"/>
      <c r="N6" s="36"/>
      <c r="O6" s="34"/>
      <c r="P6" s="34"/>
      <c r="Q6" s="34"/>
    </row>
    <row r="7" spans="1:17" ht="15" customHeight="1" x14ac:dyDescent="0.3">
      <c r="A7" s="34"/>
      <c r="B7" s="33"/>
      <c r="C7" s="90"/>
      <c r="D7" s="325"/>
      <c r="E7" s="325"/>
      <c r="F7" s="325"/>
      <c r="G7" s="325"/>
      <c r="H7" s="325"/>
      <c r="I7" s="325"/>
      <c r="J7" s="34"/>
      <c r="K7" s="52"/>
      <c r="L7" s="34"/>
      <c r="M7" s="34"/>
      <c r="N7" s="36"/>
      <c r="O7" s="34"/>
      <c r="P7" s="34"/>
      <c r="Q7" s="34"/>
    </row>
    <row r="8" spans="1:17" ht="27.75" customHeight="1" x14ac:dyDescent="0.4">
      <c r="A8" s="34"/>
      <c r="B8" s="33"/>
      <c r="C8" s="34"/>
      <c r="D8" s="355"/>
      <c r="E8" s="355"/>
      <c r="F8" s="355"/>
      <c r="G8" s="355"/>
      <c r="H8" s="355"/>
      <c r="I8" s="355"/>
      <c r="J8" s="34"/>
      <c r="K8" s="52"/>
      <c r="L8" s="53"/>
      <c r="M8" s="44"/>
      <c r="N8" s="37"/>
      <c r="O8" s="34"/>
      <c r="P8" s="34"/>
      <c r="Q8" s="34"/>
    </row>
    <row r="9" spans="1:17" ht="23.1" customHeight="1" x14ac:dyDescent="0.4">
      <c r="A9" s="34"/>
      <c r="B9" s="33"/>
      <c r="C9" s="356" t="s">
        <v>71</v>
      </c>
      <c r="D9" s="357"/>
      <c r="E9" s="335"/>
      <c r="F9" s="336"/>
      <c r="G9" s="336"/>
      <c r="H9" s="337"/>
      <c r="I9" s="34"/>
      <c r="J9" s="333" t="s">
        <v>5</v>
      </c>
      <c r="K9" s="334"/>
      <c r="L9" s="331"/>
      <c r="M9" s="332"/>
      <c r="N9" s="37"/>
      <c r="O9" s="34"/>
      <c r="P9" s="34"/>
      <c r="Q9" s="34"/>
    </row>
    <row r="10" spans="1:17" ht="23.1" customHeight="1" x14ac:dyDescent="0.3">
      <c r="A10" s="34"/>
      <c r="B10" s="33"/>
      <c r="C10" s="350" t="s">
        <v>72</v>
      </c>
      <c r="D10" s="351"/>
      <c r="E10" s="358"/>
      <c r="F10" s="359"/>
      <c r="G10" s="359"/>
      <c r="H10" s="360"/>
      <c r="I10" s="34"/>
      <c r="J10" s="349"/>
      <c r="K10" s="349"/>
      <c r="L10" s="34"/>
      <c r="M10" s="34"/>
      <c r="N10" s="36"/>
      <c r="O10" s="34"/>
      <c r="P10" s="34"/>
      <c r="Q10" s="34"/>
    </row>
    <row r="11" spans="1:17" ht="23.1" customHeight="1" x14ac:dyDescent="0.3">
      <c r="A11" s="34"/>
      <c r="B11" s="33"/>
      <c r="C11" s="350" t="s">
        <v>73</v>
      </c>
      <c r="D11" s="351"/>
      <c r="E11" s="366"/>
      <c r="F11" s="359"/>
      <c r="G11" s="359"/>
      <c r="H11" s="360"/>
      <c r="I11" s="352" t="s">
        <v>74</v>
      </c>
      <c r="J11" s="353"/>
      <c r="K11" s="353"/>
      <c r="L11" s="361" t="str">
        <f>'3 New Application'!M36</f>
        <v/>
      </c>
      <c r="M11" s="361"/>
      <c r="N11" s="36"/>
      <c r="O11" s="34"/>
      <c r="P11" s="34"/>
      <c r="Q11" s="34"/>
    </row>
    <row r="12" spans="1:17" ht="23.1" customHeight="1" x14ac:dyDescent="0.3">
      <c r="A12" s="34"/>
      <c r="B12" s="33"/>
      <c r="C12" s="84"/>
      <c r="D12" s="84"/>
      <c r="E12" s="90"/>
      <c r="F12" s="90"/>
      <c r="G12" s="90"/>
      <c r="H12" s="90"/>
      <c r="I12" s="34"/>
      <c r="J12" s="34"/>
      <c r="K12" s="52"/>
      <c r="L12" s="34"/>
      <c r="M12" s="34"/>
      <c r="N12" s="36"/>
      <c r="O12" s="34"/>
      <c r="P12" s="34"/>
      <c r="Q12" s="34"/>
    </row>
    <row r="13" spans="1:17" ht="23.1" customHeight="1" x14ac:dyDescent="0.3">
      <c r="A13" s="34"/>
      <c r="B13" s="33"/>
      <c r="C13" s="362" t="str">
        <f>"Base charges for new applications "&amp;RIGHT(C3,7)</f>
        <v>Base charges for new applications 2024-25</v>
      </c>
      <c r="D13" s="362"/>
      <c r="E13" s="362"/>
      <c r="F13" s="362"/>
      <c r="G13" s="90"/>
      <c r="H13" s="90"/>
      <c r="I13" s="34"/>
      <c r="J13" s="363" t="s">
        <v>75</v>
      </c>
      <c r="K13" s="363"/>
      <c r="L13" s="34"/>
      <c r="M13" s="66" t="str">
        <f>'3 New Application'!M37</f>
        <v/>
      </c>
      <c r="N13" s="36"/>
      <c r="O13" s="34"/>
      <c r="P13" s="34"/>
      <c r="Q13" s="34"/>
    </row>
    <row r="14" spans="1:17" ht="23.1" customHeight="1" x14ac:dyDescent="0.3">
      <c r="A14" s="34"/>
      <c r="B14" s="33"/>
      <c r="C14" s="82"/>
      <c r="D14" s="82"/>
      <c r="E14" s="82"/>
      <c r="F14" s="82"/>
      <c r="G14" s="90"/>
      <c r="H14" s="90"/>
      <c r="I14" s="34"/>
      <c r="J14" s="363" t="s">
        <v>76</v>
      </c>
      <c r="K14" s="363"/>
      <c r="L14" s="34"/>
      <c r="M14" s="66">
        <f>'3 New Application'!M45</f>
        <v>0</v>
      </c>
      <c r="N14" s="36"/>
      <c r="O14" s="34"/>
      <c r="P14" s="34"/>
      <c r="Q14" s="34"/>
    </row>
    <row r="15" spans="1:17" ht="23.1" customHeight="1" x14ac:dyDescent="0.3">
      <c r="A15" s="34"/>
      <c r="B15" s="33"/>
      <c r="C15" s="74" t="s">
        <v>37</v>
      </c>
      <c r="D15" s="74" t="s">
        <v>39</v>
      </c>
      <c r="E15" s="5" t="s">
        <v>43</v>
      </c>
      <c r="F15" s="74" t="s">
        <v>77</v>
      </c>
      <c r="G15" s="34"/>
      <c r="H15" s="39"/>
      <c r="I15" s="39"/>
      <c r="J15" s="363" t="s">
        <v>78</v>
      </c>
      <c r="K15" s="363"/>
      <c r="L15" s="39"/>
      <c r="M15" s="66">
        <f>'3 New Application'!M59</f>
        <v>0</v>
      </c>
      <c r="N15" s="36"/>
      <c r="O15" s="34"/>
      <c r="P15" s="34"/>
      <c r="Q15" s="34"/>
    </row>
    <row r="16" spans="1:17" ht="29.25" customHeight="1" thickBot="1" x14ac:dyDescent="0.35">
      <c r="A16" s="34"/>
      <c r="B16" s="33"/>
      <c r="C16" s="85">
        <f>'3 New Application'!N33</f>
        <v>13609</v>
      </c>
      <c r="D16" s="85">
        <f>'3 New Application'!O33</f>
        <v>20470</v>
      </c>
      <c r="E16" s="85">
        <f>'3 New Application'!P33</f>
        <v>32718</v>
      </c>
      <c r="F16" s="85">
        <f>'3 New Application'!Q33</f>
        <v>44850</v>
      </c>
      <c r="G16" s="34"/>
      <c r="H16" s="39"/>
      <c r="I16" s="39"/>
      <c r="J16" s="364" t="s">
        <v>79</v>
      </c>
      <c r="K16" s="364"/>
      <c r="L16" s="224"/>
      <c r="M16" s="225" t="str">
        <f>'3 New Application'!M64</f>
        <v/>
      </c>
      <c r="N16" s="36"/>
      <c r="O16" s="34"/>
      <c r="P16" s="34"/>
      <c r="Q16" s="34"/>
    </row>
    <row r="17" spans="1:25" x14ac:dyDescent="0.3">
      <c r="A17" s="34"/>
      <c r="B17" s="33"/>
      <c r="C17" s="83"/>
      <c r="D17" s="83"/>
      <c r="E17" s="86"/>
      <c r="F17" s="83"/>
      <c r="G17" s="34"/>
      <c r="H17" s="39"/>
      <c r="I17" s="39"/>
      <c r="J17" s="365" t="s">
        <v>80</v>
      </c>
      <c r="K17" s="365"/>
      <c r="L17" s="39"/>
      <c r="M17" s="87">
        <f>'3 New Application'!M66</f>
        <v>0</v>
      </c>
      <c r="N17" s="36"/>
      <c r="O17" s="34"/>
      <c r="P17" s="34"/>
      <c r="Q17" s="34"/>
    </row>
    <row r="18" spans="1:25" ht="19.5" customHeight="1" x14ac:dyDescent="0.3">
      <c r="A18" s="34"/>
      <c r="B18" s="33"/>
      <c r="C18" s="34"/>
      <c r="D18" s="34"/>
      <c r="E18" s="34"/>
      <c r="F18" s="34"/>
      <c r="G18" s="34"/>
      <c r="H18" s="34"/>
      <c r="I18" s="54"/>
      <c r="J18" s="54"/>
      <c r="K18" s="54"/>
      <c r="L18" s="54"/>
      <c r="M18" s="54"/>
      <c r="N18" s="36"/>
      <c r="O18" s="34"/>
      <c r="P18" s="34"/>
      <c r="Q18" s="34"/>
    </row>
    <row r="19" spans="1:25" ht="15" customHeight="1" x14ac:dyDescent="0.3">
      <c r="A19" s="34"/>
      <c r="B19" s="33"/>
      <c r="C19" s="338" t="s">
        <v>81</v>
      </c>
      <c r="D19" s="339"/>
      <c r="E19" s="339"/>
      <c r="F19" s="339"/>
      <c r="G19" s="339"/>
      <c r="H19" s="339"/>
      <c r="I19" s="339"/>
      <c r="J19" s="339"/>
      <c r="K19" s="340"/>
      <c r="L19" s="54"/>
      <c r="M19" s="54"/>
      <c r="N19" s="36"/>
      <c r="O19" s="34"/>
      <c r="P19" s="34"/>
      <c r="Q19" s="34"/>
    </row>
    <row r="20" spans="1:25" ht="15" customHeight="1" x14ac:dyDescent="0.3">
      <c r="A20" s="34"/>
      <c r="B20" s="33"/>
      <c r="C20" s="341"/>
      <c r="D20" s="342"/>
      <c r="E20" s="342"/>
      <c r="F20" s="342"/>
      <c r="G20" s="342"/>
      <c r="H20" s="342"/>
      <c r="I20" s="342"/>
      <c r="J20" s="342"/>
      <c r="K20" s="343"/>
      <c r="L20" s="54"/>
      <c r="M20" s="54"/>
      <c r="N20" s="36"/>
      <c r="O20" s="34"/>
      <c r="P20" s="34"/>
      <c r="Q20" s="34"/>
    </row>
    <row r="21" spans="1:25" x14ac:dyDescent="0.3">
      <c r="A21" s="34"/>
      <c r="B21" s="33"/>
      <c r="C21" s="344"/>
      <c r="D21" s="345"/>
      <c r="E21" s="345"/>
      <c r="F21" s="345"/>
      <c r="G21" s="345"/>
      <c r="H21" s="345"/>
      <c r="I21" s="345"/>
      <c r="J21" s="345"/>
      <c r="K21" s="346"/>
      <c r="L21" s="91"/>
      <c r="M21" s="91"/>
      <c r="N21" s="36"/>
      <c r="O21" s="34"/>
      <c r="P21" s="34"/>
      <c r="Q21" s="34"/>
    </row>
    <row r="22" spans="1:25" ht="39" customHeight="1" x14ac:dyDescent="0.3">
      <c r="A22" s="34"/>
      <c r="B22" s="33"/>
      <c r="C22" s="347" t="s">
        <v>82</v>
      </c>
      <c r="D22" s="348"/>
      <c r="E22" s="46" t="s">
        <v>83</v>
      </c>
      <c r="F22" s="47" t="s">
        <v>84</v>
      </c>
      <c r="G22" s="80" t="s">
        <v>85</v>
      </c>
      <c r="H22" s="48" t="s">
        <v>86</v>
      </c>
      <c r="I22" s="49" t="s">
        <v>87</v>
      </c>
      <c r="J22" s="50" t="s">
        <v>88</v>
      </c>
      <c r="K22" s="51" t="s">
        <v>89</v>
      </c>
      <c r="L22" s="91"/>
      <c r="M22" s="55"/>
      <c r="N22" s="36"/>
      <c r="O22" s="34"/>
      <c r="P22" s="34"/>
      <c r="Q22" s="34"/>
      <c r="R22" s="56"/>
      <c r="U22" s="354"/>
      <c r="V22" s="354"/>
      <c r="W22" s="354"/>
      <c r="X22" s="354"/>
      <c r="Y22" s="354"/>
    </row>
    <row r="23" spans="1:25" x14ac:dyDescent="0.3">
      <c r="A23" s="34"/>
      <c r="B23" s="33"/>
      <c r="C23" s="34"/>
      <c r="D23" s="34"/>
      <c r="E23" s="34"/>
      <c r="F23" s="34"/>
      <c r="G23" s="34"/>
      <c r="H23" s="34"/>
      <c r="I23" s="45"/>
      <c r="J23" s="45"/>
      <c r="K23" s="45"/>
      <c r="L23" s="45"/>
      <c r="M23" s="45"/>
      <c r="N23" s="36"/>
      <c r="O23" s="34"/>
      <c r="P23" s="34"/>
      <c r="Q23" s="34"/>
      <c r="U23" s="354"/>
      <c r="V23" s="354"/>
      <c r="W23" s="354"/>
      <c r="X23" s="354"/>
      <c r="Y23" s="354"/>
    </row>
    <row r="24" spans="1:25" ht="31.5" customHeight="1" x14ac:dyDescent="0.3">
      <c r="A24" s="34"/>
      <c r="B24" s="33"/>
      <c r="C24" s="34"/>
      <c r="D24" s="34"/>
      <c r="E24" s="34"/>
      <c r="F24" s="34"/>
      <c r="G24" s="34"/>
      <c r="H24" s="34"/>
      <c r="I24" s="39"/>
      <c r="J24" s="34"/>
      <c r="K24" s="52"/>
      <c r="L24" s="34"/>
      <c r="M24" s="34"/>
      <c r="N24" s="36"/>
      <c r="O24" s="34"/>
      <c r="P24" s="34"/>
      <c r="Q24" s="34"/>
    </row>
    <row r="25" spans="1:25" ht="45.75" customHeight="1" x14ac:dyDescent="0.3">
      <c r="A25" s="34"/>
      <c r="B25" s="33"/>
      <c r="C25" s="326" t="s">
        <v>90</v>
      </c>
      <c r="D25" s="327"/>
      <c r="E25" s="327"/>
      <c r="F25" s="327"/>
      <c r="G25" s="251"/>
      <c r="H25" s="34"/>
      <c r="I25" s="34"/>
      <c r="J25" s="34"/>
      <c r="K25" s="52"/>
      <c r="L25" s="34"/>
      <c r="M25" s="34"/>
      <c r="N25" s="36"/>
      <c r="O25" s="34"/>
      <c r="P25" s="34"/>
      <c r="Q25" s="34"/>
      <c r="R25" s="57"/>
      <c r="S25" s="57"/>
      <c r="T25" s="57"/>
      <c r="U25" s="57"/>
    </row>
    <row r="26" spans="1:25" ht="37.5" customHeight="1" x14ac:dyDescent="0.3">
      <c r="A26" s="34"/>
      <c r="B26" s="33"/>
      <c r="C26" s="328"/>
      <c r="D26" s="329"/>
      <c r="E26" s="329"/>
      <c r="F26" s="329"/>
      <c r="G26" s="125" t="s">
        <v>91</v>
      </c>
      <c r="H26" s="34"/>
      <c r="I26" s="330" t="str">
        <f>IF(G25="yes","Please include all the listed activities currently in your permit in the next tab","")</f>
        <v/>
      </c>
      <c r="J26" s="330"/>
      <c r="K26" s="330"/>
      <c r="L26" s="330"/>
      <c r="M26" s="330"/>
      <c r="N26" s="36"/>
      <c r="O26" s="34"/>
      <c r="P26" s="34"/>
      <c r="Q26" s="34"/>
      <c r="U26" s="354"/>
      <c r="V26" s="354"/>
      <c r="W26" s="354"/>
      <c r="X26" s="354"/>
      <c r="Y26" s="354"/>
    </row>
    <row r="27" spans="1:25" ht="15" customHeight="1" x14ac:dyDescent="0.3">
      <c r="A27" s="34"/>
      <c r="B27" s="38"/>
      <c r="C27" s="34"/>
      <c r="D27" s="34"/>
      <c r="E27" s="34"/>
      <c r="F27" s="34"/>
      <c r="G27" s="34"/>
      <c r="H27" s="39"/>
      <c r="I27" s="34"/>
      <c r="J27" s="34"/>
      <c r="K27" s="52"/>
      <c r="L27" s="34"/>
      <c r="M27" s="34"/>
      <c r="N27" s="36"/>
      <c r="O27" s="34"/>
      <c r="P27" s="34"/>
      <c r="Q27" s="34"/>
    </row>
    <row r="28" spans="1:25" ht="27.75" customHeight="1" thickBot="1" x14ac:dyDescent="0.35">
      <c r="A28" s="34"/>
      <c r="B28" s="40"/>
      <c r="C28" s="41"/>
      <c r="D28" s="41"/>
      <c r="E28" s="41"/>
      <c r="F28" s="41"/>
      <c r="G28" s="41"/>
      <c r="H28" s="41"/>
      <c r="I28" s="41"/>
      <c r="J28" s="41"/>
      <c r="K28" s="42"/>
      <c r="L28" s="41"/>
      <c r="M28" s="41"/>
      <c r="N28" s="43"/>
      <c r="O28" s="34"/>
      <c r="P28" s="34"/>
      <c r="Q28" s="34"/>
    </row>
    <row r="29" spans="1:25" x14ac:dyDescent="0.3">
      <c r="A29" s="34"/>
      <c r="B29" s="34"/>
      <c r="C29" s="34"/>
      <c r="D29" s="34"/>
      <c r="E29" s="34"/>
      <c r="F29" s="34"/>
      <c r="G29" s="34"/>
      <c r="H29" s="34"/>
      <c r="I29" s="34"/>
      <c r="J29" s="34"/>
      <c r="K29" s="52"/>
      <c r="L29" s="34"/>
      <c r="M29" s="34"/>
      <c r="N29" s="34"/>
      <c r="O29" s="34"/>
      <c r="P29" s="34"/>
      <c r="Q29" s="34"/>
    </row>
    <row r="30" spans="1:25" x14ac:dyDescent="0.3">
      <c r="A30" s="34"/>
      <c r="B30" s="34"/>
      <c r="C30" s="34"/>
      <c r="D30" s="34"/>
      <c r="E30" s="34"/>
      <c r="F30" s="34"/>
      <c r="G30" s="34"/>
      <c r="H30" s="34"/>
      <c r="I30" s="34"/>
      <c r="J30" s="34"/>
      <c r="K30" s="52"/>
      <c r="L30" s="34"/>
      <c r="M30" s="34"/>
      <c r="N30" s="34"/>
      <c r="O30" s="34"/>
      <c r="P30" s="34"/>
      <c r="Q30" s="34"/>
    </row>
    <row r="31" spans="1:25" x14ac:dyDescent="0.3">
      <c r="A31" s="34"/>
      <c r="B31" s="34"/>
      <c r="C31" s="34"/>
      <c r="D31" s="34"/>
      <c r="E31" s="34"/>
      <c r="F31" s="34"/>
      <c r="G31" s="34"/>
      <c r="H31" s="34"/>
      <c r="I31" s="34"/>
      <c r="J31" s="34"/>
      <c r="K31" s="52"/>
      <c r="L31" s="34"/>
      <c r="M31" s="34"/>
      <c r="N31" s="34"/>
      <c r="O31" s="34"/>
      <c r="P31" s="34"/>
      <c r="Q31" s="34"/>
    </row>
    <row r="32" spans="1:25" x14ac:dyDescent="0.3">
      <c r="A32" s="34"/>
      <c r="B32" s="34"/>
      <c r="C32" s="34"/>
      <c r="D32" s="34"/>
      <c r="E32" s="34"/>
      <c r="F32" s="34"/>
      <c r="G32" s="34"/>
      <c r="H32" s="34"/>
      <c r="I32" s="34"/>
      <c r="J32" s="34"/>
      <c r="K32" s="52"/>
      <c r="L32" s="34"/>
      <c r="M32" s="34"/>
      <c r="N32" s="34"/>
      <c r="O32" s="34"/>
      <c r="P32" s="34"/>
      <c r="Q32" s="34"/>
    </row>
    <row r="33" spans="1:17" x14ac:dyDescent="0.3">
      <c r="A33" s="34"/>
      <c r="B33" s="34"/>
      <c r="C33" s="34"/>
      <c r="D33" s="34"/>
      <c r="E33" s="34"/>
      <c r="F33" s="34"/>
      <c r="G33" s="34"/>
      <c r="H33" s="34"/>
      <c r="I33" s="34"/>
      <c r="J33" s="34"/>
      <c r="K33" s="52"/>
      <c r="L33" s="34"/>
      <c r="M33" s="34"/>
      <c r="N33" s="34"/>
      <c r="O33" s="34"/>
      <c r="P33" s="34"/>
      <c r="Q33" s="34"/>
    </row>
    <row r="34" spans="1:17" x14ac:dyDescent="0.3">
      <c r="A34" s="34"/>
      <c r="B34" s="34"/>
      <c r="C34" s="34"/>
      <c r="D34" s="34"/>
      <c r="E34" s="34"/>
      <c r="F34" s="34"/>
      <c r="G34" s="34"/>
      <c r="H34" s="34"/>
      <c r="I34" s="34"/>
      <c r="J34" s="34"/>
      <c r="K34" s="52"/>
      <c r="L34" s="34"/>
      <c r="M34" s="34"/>
      <c r="N34" s="34"/>
      <c r="O34" s="34"/>
      <c r="P34" s="34"/>
      <c r="Q34" s="34"/>
    </row>
  </sheetData>
  <sheetProtection algorithmName="SHA-512" hashValue="CtsHYiCYpvzYIiU+UIZ7A2U49+mND1qn1IZeiYsvd6Wddpduc3tqn9xibkPRyGZWWZ6jtIgKv9AuEq9wM020zQ==" saltValue="lL9RFtixr6Wh/pp7rtFwNA==" spinCount="100000" sheet="1" objects="1" scenarios="1"/>
  <mergeCells count="25">
    <mergeCell ref="U26:Y26"/>
    <mergeCell ref="U22:Y23"/>
    <mergeCell ref="D8:I8"/>
    <mergeCell ref="C9:D9"/>
    <mergeCell ref="E10:H10"/>
    <mergeCell ref="L11:M11"/>
    <mergeCell ref="C13:F13"/>
    <mergeCell ref="J13:K13"/>
    <mergeCell ref="J14:K14"/>
    <mergeCell ref="J15:K15"/>
    <mergeCell ref="J16:K16"/>
    <mergeCell ref="J17:K17"/>
    <mergeCell ref="C11:D11"/>
    <mergeCell ref="E11:H11"/>
    <mergeCell ref="D4:I7"/>
    <mergeCell ref="C25:F26"/>
    <mergeCell ref="I26:M26"/>
    <mergeCell ref="L9:M9"/>
    <mergeCell ref="J9:K9"/>
    <mergeCell ref="E9:H9"/>
    <mergeCell ref="C19:K21"/>
    <mergeCell ref="C22:D22"/>
    <mergeCell ref="J10:K10"/>
    <mergeCell ref="C10:D10"/>
    <mergeCell ref="I11:K11"/>
  </mergeCells>
  <conditionalFormatting sqref="G25">
    <cfRule type="cellIs" dxfId="30" priority="6" operator="equal">
      <formula>"No"</formula>
    </cfRule>
    <cfRule type="cellIs" dxfId="29" priority="7" operator="equal">
      <formula>"Yes"</formula>
    </cfRule>
  </conditionalFormatting>
  <conditionalFormatting sqref="I26:M26">
    <cfRule type="containsText" dxfId="28" priority="1" operator="containsText" text="Please">
      <formula>NOT(ISERROR(SEARCH("Please",I26)))</formula>
    </cfRule>
  </conditionalFormatting>
  <hyperlinks>
    <hyperlink ref="G26" r:id="rId1" xr:uid="{65EE7132-4447-4D42-A7F0-03C6F4D1EAE9}"/>
  </hyperlinks>
  <pageMargins left="0.7" right="0.7" top="0.75" bottom="0.75" header="0.3" footer="0.3"/>
  <pageSetup paperSize="256" orientation="portrait" horizontalDpi="203" verticalDpi="203"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09EB0FC-B343-4DDA-A21D-833C5B057BD6}">
          <x14:formula1>
            <xm:f>Picklists!$B$3:$B$4</xm:f>
          </x14:formula1>
          <xm:sqref>G25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80CF-7E6A-44C9-A344-23262F880F33}">
  <sheetPr>
    <tabColor theme="5" tint="0.39997558519241921"/>
  </sheetPr>
  <dimension ref="A1:W42"/>
  <sheetViews>
    <sheetView zoomScaleNormal="100" workbookViewId="0">
      <selection activeCell="C2" sqref="C2"/>
    </sheetView>
  </sheetViews>
  <sheetFormatPr defaultRowHeight="14.4" x14ac:dyDescent="0.3"/>
  <cols>
    <col min="3" max="3" width="16.33203125" customWidth="1"/>
    <col min="4" max="4" width="46.44140625" customWidth="1"/>
    <col min="5" max="5" width="38.109375" customWidth="1"/>
    <col min="6" max="6" width="16.44140625" customWidth="1"/>
    <col min="7" max="8" width="17.109375" style="1" customWidth="1"/>
    <col min="9" max="9" width="21.44140625" style="1" hidden="1" customWidth="1"/>
    <col min="11" max="11" width="16.33203125" customWidth="1"/>
    <col min="12" max="12" width="9.109375" hidden="1" customWidth="1"/>
    <col min="13" max="13" width="14.6640625" hidden="1" customWidth="1"/>
    <col min="14" max="14" width="23.5546875" customWidth="1"/>
    <col min="15" max="15" width="11.5546875" customWidth="1"/>
    <col min="16" max="18" width="16.5546875" hidden="1" customWidth="1"/>
    <col min="19" max="19" width="14.6640625" hidden="1" customWidth="1"/>
    <col min="20" max="20" width="9.33203125" customWidth="1"/>
    <col min="23" max="23" width="8.6640625" hidden="1" customWidth="1"/>
  </cols>
  <sheetData>
    <row r="1" spans="1:23" ht="15" thickBot="1" x14ac:dyDescent="0.35">
      <c r="A1" s="34"/>
      <c r="B1" s="34"/>
      <c r="C1" s="34"/>
      <c r="D1" s="34"/>
      <c r="E1" s="34"/>
      <c r="F1" s="34"/>
      <c r="G1" s="90"/>
      <c r="H1" s="90"/>
      <c r="I1" s="90"/>
      <c r="J1" s="34"/>
      <c r="K1" s="34"/>
      <c r="L1" s="34"/>
      <c r="M1" s="34"/>
      <c r="N1" s="34"/>
      <c r="O1" s="34"/>
      <c r="P1" s="34"/>
      <c r="Q1" s="34"/>
      <c r="R1" s="34"/>
      <c r="S1" s="34"/>
      <c r="T1" s="34"/>
      <c r="U1" s="34"/>
      <c r="V1" s="34"/>
    </row>
    <row r="2" spans="1:23" ht="21.75" customHeight="1" thickBot="1" x14ac:dyDescent="0.35">
      <c r="A2" s="34"/>
      <c r="B2" s="293" t="s">
        <v>0</v>
      </c>
      <c r="C2" s="294" t="str">
        <f>'3 New Application'!C2</f>
        <v>NRW SRoC v2 2024-25</v>
      </c>
      <c r="D2" s="294"/>
      <c r="E2" s="295"/>
      <c r="F2" s="34"/>
      <c r="G2" s="90"/>
      <c r="H2" s="90"/>
      <c r="I2" s="90"/>
      <c r="J2" s="34"/>
      <c r="K2" s="34"/>
      <c r="L2" s="34"/>
      <c r="M2" s="34"/>
      <c r="N2" s="34"/>
      <c r="O2" s="34"/>
      <c r="P2" s="34"/>
      <c r="Q2" s="34"/>
      <c r="R2" s="34"/>
      <c r="S2" s="34"/>
      <c r="T2" s="34"/>
      <c r="U2" s="34"/>
      <c r="V2" s="34"/>
    </row>
    <row r="3" spans="1:23" ht="39" customHeight="1" thickBot="1" x14ac:dyDescent="0.35">
      <c r="A3" s="34"/>
      <c r="B3" s="370" t="s">
        <v>92</v>
      </c>
      <c r="C3" s="371"/>
      <c r="D3" s="371"/>
      <c r="E3" s="371"/>
      <c r="F3" s="371"/>
      <c r="G3" s="371"/>
      <c r="H3" s="371"/>
      <c r="I3" s="371"/>
      <c r="J3" s="371"/>
      <c r="K3" s="371"/>
      <c r="L3" s="371"/>
      <c r="M3" s="371"/>
      <c r="N3" s="371"/>
      <c r="O3" s="372"/>
      <c r="P3" s="96"/>
      <c r="Q3" s="97"/>
      <c r="R3" s="97"/>
      <c r="S3" s="97"/>
      <c r="T3" s="97"/>
      <c r="U3" s="97"/>
      <c r="V3" s="97"/>
    </row>
    <row r="4" spans="1:23" ht="33" customHeight="1" thickBot="1" x14ac:dyDescent="0.35">
      <c r="A4" s="34"/>
      <c r="B4" s="367" t="s">
        <v>93</v>
      </c>
      <c r="C4" s="368"/>
      <c r="D4" s="368"/>
      <c r="E4" s="368"/>
      <c r="F4" s="368"/>
      <c r="G4" s="368"/>
      <c r="H4" s="368"/>
      <c r="I4" s="368"/>
      <c r="J4" s="368"/>
      <c r="K4" s="368"/>
      <c r="L4" s="368"/>
      <c r="M4" s="368"/>
      <c r="N4" s="368"/>
      <c r="O4" s="369"/>
      <c r="P4" s="98"/>
      <c r="Q4" s="99"/>
      <c r="R4" s="99"/>
      <c r="S4" s="99"/>
      <c r="T4" s="100"/>
      <c r="U4" s="100"/>
      <c r="V4" s="101"/>
    </row>
    <row r="5" spans="1:23" ht="15" customHeight="1" x14ac:dyDescent="0.3">
      <c r="A5" s="34"/>
      <c r="B5" s="102"/>
      <c r="C5" s="31"/>
      <c r="D5" s="31"/>
      <c r="E5" s="31"/>
      <c r="F5" s="34"/>
      <c r="G5" s="103"/>
      <c r="H5" s="90"/>
      <c r="I5" s="312"/>
      <c r="J5" s="31"/>
      <c r="K5" s="31"/>
      <c r="L5" s="311"/>
      <c r="M5" s="261"/>
      <c r="N5" s="34"/>
      <c r="O5" s="36"/>
      <c r="P5" s="309"/>
      <c r="Q5" s="309"/>
      <c r="R5" s="310"/>
      <c r="S5" s="261"/>
      <c r="T5" s="34"/>
      <c r="U5" s="34"/>
      <c r="V5" s="34"/>
    </row>
    <row r="6" spans="1:23" ht="18.600000000000001" customHeight="1" x14ac:dyDescent="0.3">
      <c r="A6" s="34"/>
      <c r="B6" s="33"/>
      <c r="C6" s="106" t="s">
        <v>94</v>
      </c>
      <c r="D6" s="107">
        <f>+Introduction!E9</f>
        <v>0</v>
      </c>
      <c r="E6" s="34"/>
      <c r="F6" s="376"/>
      <c r="G6" s="108"/>
      <c r="H6" s="376"/>
      <c r="I6" s="309"/>
      <c r="J6" s="34"/>
      <c r="K6" s="34"/>
      <c r="L6" s="261"/>
      <c r="M6" s="307"/>
      <c r="N6" s="105"/>
      <c r="O6" s="36"/>
      <c r="P6" s="309"/>
      <c r="Q6" s="309"/>
      <c r="R6" s="310"/>
      <c r="S6" s="261"/>
      <c r="T6" s="34"/>
      <c r="U6" s="34"/>
      <c r="V6" s="34"/>
    </row>
    <row r="7" spans="1:23" ht="19.5" customHeight="1" x14ac:dyDescent="0.3">
      <c r="A7" s="34"/>
      <c r="B7" s="33"/>
      <c r="C7" s="106" t="s">
        <v>95</v>
      </c>
      <c r="D7" s="107">
        <f>+Introduction!L9</f>
        <v>0</v>
      </c>
      <c r="E7" s="34"/>
      <c r="F7" s="376"/>
      <c r="G7" s="90"/>
      <c r="H7" s="376"/>
      <c r="I7" s="309"/>
      <c r="J7" s="34"/>
      <c r="K7" s="34"/>
      <c r="L7" s="261"/>
      <c r="M7" s="307"/>
      <c r="N7" s="378"/>
      <c r="O7" s="36"/>
      <c r="P7" s="104"/>
      <c r="Q7" s="104"/>
      <c r="R7" s="105"/>
      <c r="S7" s="34"/>
      <c r="T7" s="34"/>
      <c r="U7" s="34"/>
      <c r="V7" s="34"/>
    </row>
    <row r="8" spans="1:23" ht="20.399999999999999" customHeight="1" x14ac:dyDescent="0.3">
      <c r="A8" s="34"/>
      <c r="B8" s="33"/>
      <c r="C8" s="34"/>
      <c r="D8" s="34"/>
      <c r="E8" s="34"/>
      <c r="F8" s="377"/>
      <c r="G8" s="34"/>
      <c r="H8" s="377"/>
      <c r="I8" s="309"/>
      <c r="J8" s="34"/>
      <c r="K8" s="34"/>
      <c r="L8" s="261"/>
      <c r="M8" s="307"/>
      <c r="N8" s="379"/>
      <c r="O8" s="36"/>
      <c r="P8" s="72" t="str">
        <f>IF(OR(P10="incomplete",P11="incomplete",P12="incomplete",P13="incomplete",P14="incomplete",P15="incomplete",P16="incomplete",P17="incomplete",P18="incomplete",P19="incomplete",P20="incomplete",P21="incomplete",P22="incomplete",P23="incomplete",P24="incomplete",P25="incomplete",P26="incomplete",P27="incomplete",P28="incomplete",P29="incomplete",P30="incomplete",P31="incomplete",P32="incomplete",P33="incomplete",P34="incomplete"),"incomplete","complete")</f>
        <v>complete</v>
      </c>
      <c r="Q8" s="104"/>
      <c r="R8" s="72" t="str">
        <f>IF(OR(R10="incomplete",R11="incomplete",R12="incomplete",R13="incomplete",R14="incomplete",R15="incomplete",R16="incomplete",R17="incomplete",R18="incomplete",R19="incomplete",R20="incomplete",R21="incomplete",R22="incomplete",R23="incomplete",R24="incomplete",R25="incomplete",R26="incomplete",R27="incomplete",R28="incomplete",R29="incomplete",R30="incomplete",R31="incomplete",R32="incomplete",R33="incomplete",R34="incomplete"),"incomplete","complete")</f>
        <v>complete</v>
      </c>
      <c r="S8" s="34"/>
      <c r="T8" s="34"/>
      <c r="U8" s="34"/>
      <c r="V8" s="34"/>
    </row>
    <row r="9" spans="1:23" ht="45" customHeight="1" x14ac:dyDescent="0.3">
      <c r="A9" s="34"/>
      <c r="B9" s="33"/>
      <c r="C9" s="109"/>
      <c r="D9" s="110" t="s">
        <v>96</v>
      </c>
      <c r="E9" s="110" t="s">
        <v>97</v>
      </c>
      <c r="F9" s="110" t="s">
        <v>98</v>
      </c>
      <c r="G9" s="110" t="s">
        <v>99</v>
      </c>
      <c r="H9" s="111" t="s">
        <v>100</v>
      </c>
      <c r="I9" s="111"/>
      <c r="J9" s="112" t="s">
        <v>101</v>
      </c>
      <c r="K9" s="113" t="s">
        <v>102</v>
      </c>
      <c r="L9" s="113"/>
      <c r="M9" s="308" t="s">
        <v>103</v>
      </c>
      <c r="N9" s="113" t="s">
        <v>104</v>
      </c>
      <c r="O9" s="36"/>
      <c r="P9" s="105" t="s">
        <v>105</v>
      </c>
      <c r="Q9" s="105" t="s">
        <v>106</v>
      </c>
      <c r="R9" s="105" t="s">
        <v>107</v>
      </c>
      <c r="S9" s="114" t="s">
        <v>108</v>
      </c>
      <c r="T9" s="114"/>
      <c r="U9" s="34"/>
      <c r="V9" s="34"/>
    </row>
    <row r="10" spans="1:23" ht="20.100000000000001" customHeight="1" x14ac:dyDescent="0.3">
      <c r="A10" s="34"/>
      <c r="B10" s="115"/>
      <c r="C10" s="116">
        <v>1</v>
      </c>
      <c r="D10" s="92"/>
      <c r="E10" s="126"/>
      <c r="F10" s="126"/>
      <c r="G10" s="117" t="str">
        <f>IFERROR(VLOOKUP(E10,Picklists!$D$3:$H$105,3,FALSE),"")</f>
        <v/>
      </c>
      <c r="H10" s="94"/>
      <c r="I10" s="117" t="str">
        <f>IF(AND(F10="Yes",H10&lt;&gt;""),H10,"")</f>
        <v/>
      </c>
      <c r="J10" s="117" t="str">
        <f>IFERROR(VLOOKUP(E10,Picklists!$D$3:$I$107,4,FALSE),"")</f>
        <v/>
      </c>
      <c r="K10" s="117" t="str">
        <f>IFERROR(VLOOKUP(E10,Picklists!$D$3:$I$107,5,FALSE),"")</f>
        <v/>
      </c>
      <c r="L10" s="117" t="str">
        <f>IF(K10=0,"",K10)</f>
        <v/>
      </c>
      <c r="M10" s="117" t="str">
        <f>IFERROR(VLOOKUP(E10,Picklists!$D$3:$I$107,6,FALSE),"")</f>
        <v/>
      </c>
      <c r="N10" s="117"/>
      <c r="O10" s="36" t="str">
        <f t="shared" ref="O10:O11" si="0">IF(W10=1,"Landfills always require TCM","")</f>
        <v/>
      </c>
      <c r="P10" s="118" t="str">
        <f t="shared" ref="P10:P34" si="1">IF(AND(D10="",E10&gt;0),"incomplete","")</f>
        <v/>
      </c>
      <c r="Q10" s="118" t="str">
        <f t="shared" ref="Q10:Q34" si="2">IF(AND(E10&gt;0,F10=""),"incomplete","")</f>
        <v/>
      </c>
      <c r="R10" s="34" t="str">
        <f>IFERROR(IF(F10="","complete",IF(AND(F10="yes",H10&gt;0),"complete",IF(AND(F10="No",H10&gt;0),"complete","Incomplete"))),"")</f>
        <v>complete</v>
      </c>
      <c r="S10" s="119" t="str">
        <f>IFERROR(+I10/G10,"")</f>
        <v/>
      </c>
      <c r="T10" s="120"/>
      <c r="U10" s="34"/>
      <c r="V10" s="34"/>
      <c r="W10">
        <f t="shared" ref="W10:W34" si="3">COUNTIF(E10,"5.2*")</f>
        <v>0</v>
      </c>
    </row>
    <row r="11" spans="1:23" ht="20.100000000000001" customHeight="1" x14ac:dyDescent="0.3">
      <c r="A11" s="34"/>
      <c r="B11" s="115"/>
      <c r="C11" s="116">
        <v>2</v>
      </c>
      <c r="D11" s="92"/>
      <c r="E11" s="127"/>
      <c r="F11" s="126"/>
      <c r="G11" s="117" t="str">
        <f>IFERROR(VLOOKUP(E11,Picklists!$D$3:$H$105,3,FALSE),"")</f>
        <v/>
      </c>
      <c r="H11" s="94"/>
      <c r="I11" s="117" t="str">
        <f t="shared" ref="I11:I34" si="4">IF(AND(F11="Yes",H11&lt;&gt;""),H11,"")</f>
        <v/>
      </c>
      <c r="J11" s="117" t="str">
        <f>IFERROR(VLOOKUP(E11,Picklists!$D$3:$I$107,4,FALSE),"")</f>
        <v/>
      </c>
      <c r="K11" s="117" t="str">
        <f>IFERROR(VLOOKUP(E11,Picklists!$D$3:$I$107,5,FALSE),"")</f>
        <v/>
      </c>
      <c r="L11" s="117" t="str">
        <f t="shared" ref="L11:L34" si="5">IF(K11=0,"",K11)</f>
        <v/>
      </c>
      <c r="M11" s="117" t="str">
        <f>IFERROR(VLOOKUP(E11,Picklists!$D$3:$I$107,6,FALSE),"")</f>
        <v/>
      </c>
      <c r="N11" s="117"/>
      <c r="O11" s="36" t="str">
        <f t="shared" si="0"/>
        <v/>
      </c>
      <c r="P11" s="118" t="str">
        <f t="shared" si="1"/>
        <v/>
      </c>
      <c r="Q11" s="118" t="str">
        <f t="shared" si="2"/>
        <v/>
      </c>
      <c r="R11" s="34" t="str">
        <f t="shared" ref="R11:R34" si="6">IFERROR(IF(F11="","complete",IF(AND(F11="yes",S11&gt;0),"complete",IF(AND(F11="No",S11&gt;0),"complete","Incomplete"))),"")</f>
        <v>complete</v>
      </c>
      <c r="S11" s="119" t="str">
        <f t="shared" ref="S11:S34" si="7">IFERROR(+I11/G11,"")</f>
        <v/>
      </c>
      <c r="T11" s="120"/>
      <c r="U11" s="34"/>
      <c r="V11" s="34"/>
      <c r="W11">
        <f t="shared" si="3"/>
        <v>0</v>
      </c>
    </row>
    <row r="12" spans="1:23" ht="20.100000000000001" customHeight="1" x14ac:dyDescent="0.3">
      <c r="A12" s="34"/>
      <c r="B12" s="115"/>
      <c r="C12" s="116">
        <v>3</v>
      </c>
      <c r="D12" s="92"/>
      <c r="E12" s="127"/>
      <c r="F12" s="126"/>
      <c r="G12" s="117" t="str">
        <f>IFERROR(VLOOKUP(E12,Picklists!$D$3:$H$105,3,FALSE),"")</f>
        <v/>
      </c>
      <c r="H12" s="94"/>
      <c r="I12" s="117" t="str">
        <f t="shared" si="4"/>
        <v/>
      </c>
      <c r="J12" s="117" t="str">
        <f>IFERROR(VLOOKUP(E12,Picklists!$D$3:$I$107,4,FALSE),"")</f>
        <v/>
      </c>
      <c r="K12" s="117" t="str">
        <f>IFERROR(VLOOKUP(E12,Picklists!$D$3:$I$107,5,FALSE),"")</f>
        <v/>
      </c>
      <c r="L12" s="117" t="str">
        <f t="shared" si="5"/>
        <v/>
      </c>
      <c r="M12" s="117" t="str">
        <f>IFERROR(VLOOKUP(E12,Picklists!$D$3:$I$107,6,FALSE),"")</f>
        <v/>
      </c>
      <c r="N12" s="117" t="str">
        <f>IF(W12=1,"yes",IF(AND(F12="YES",M12="YES"),"YES",""))</f>
        <v/>
      </c>
      <c r="O12" s="36" t="str">
        <f>IF(W12=1,"Landfills always require TCM","")</f>
        <v/>
      </c>
      <c r="P12" s="118" t="str">
        <f t="shared" si="1"/>
        <v/>
      </c>
      <c r="Q12" s="118" t="str">
        <f t="shared" si="2"/>
        <v/>
      </c>
      <c r="R12" s="34" t="str">
        <f t="shared" si="6"/>
        <v>complete</v>
      </c>
      <c r="S12" s="119" t="str">
        <f t="shared" si="7"/>
        <v/>
      </c>
      <c r="T12" s="120"/>
      <c r="U12" s="34"/>
      <c r="V12" s="34"/>
      <c r="W12">
        <f>COUNTIF(E12,"5.2*")</f>
        <v>0</v>
      </c>
    </row>
    <row r="13" spans="1:23" ht="20.100000000000001" customHeight="1" x14ac:dyDescent="0.3">
      <c r="A13" s="34"/>
      <c r="B13" s="115"/>
      <c r="C13" s="116">
        <v>4</v>
      </c>
      <c r="D13" s="92"/>
      <c r="E13" s="127"/>
      <c r="F13" s="126"/>
      <c r="G13" s="117" t="str">
        <f>IFERROR(VLOOKUP(E13,Picklists!$D$3:$H$105,3,FALSE),"")</f>
        <v/>
      </c>
      <c r="H13" s="94"/>
      <c r="I13" s="117" t="str">
        <f t="shared" si="4"/>
        <v/>
      </c>
      <c r="J13" s="117" t="str">
        <f>IFERROR(VLOOKUP(E13,Picklists!$D$3:$I$107,4,FALSE),"")</f>
        <v/>
      </c>
      <c r="K13" s="117" t="str">
        <f>IFERROR(VLOOKUP(E13,Picklists!$D$3:$I$107,5,FALSE),"")</f>
        <v/>
      </c>
      <c r="L13" s="117" t="str">
        <f t="shared" si="5"/>
        <v/>
      </c>
      <c r="M13" s="117" t="str">
        <f>IFERROR(VLOOKUP(E13,Picklists!$D$3:$I$107,6,FALSE),"")</f>
        <v/>
      </c>
      <c r="N13" s="117" t="str">
        <f t="shared" ref="N13:N34" si="8">IF(W13=1,"yes",IF(AND(F13="YES",M13="YES"),"YES",""))</f>
        <v/>
      </c>
      <c r="O13" s="36" t="str">
        <f t="shared" ref="O13:O34" si="9">IF(W13=1,"Landfills always require TCM","")</f>
        <v/>
      </c>
      <c r="P13" s="118" t="str">
        <f t="shared" si="1"/>
        <v/>
      </c>
      <c r="Q13" s="118" t="str">
        <f t="shared" si="2"/>
        <v/>
      </c>
      <c r="R13" s="34" t="str">
        <f t="shared" si="6"/>
        <v>complete</v>
      </c>
      <c r="S13" s="119" t="str">
        <f t="shared" si="7"/>
        <v/>
      </c>
      <c r="T13" s="120"/>
      <c r="U13" s="34"/>
      <c r="V13" s="34"/>
      <c r="W13">
        <f t="shared" si="3"/>
        <v>0</v>
      </c>
    </row>
    <row r="14" spans="1:23" ht="20.100000000000001" customHeight="1" x14ac:dyDescent="0.3">
      <c r="A14" s="34"/>
      <c r="B14" s="115"/>
      <c r="C14" s="116">
        <v>5</v>
      </c>
      <c r="D14" s="92"/>
      <c r="E14" s="127"/>
      <c r="F14" s="126"/>
      <c r="G14" s="117" t="str">
        <f>IFERROR(VLOOKUP(E14,Picklists!$D$3:$H$105,3,FALSE),"")</f>
        <v/>
      </c>
      <c r="H14" s="95"/>
      <c r="I14" s="117" t="str">
        <f t="shared" si="4"/>
        <v/>
      </c>
      <c r="J14" s="117" t="str">
        <f>IFERROR(VLOOKUP(E14,Picklists!$D$3:$I$107,4,FALSE),"")</f>
        <v/>
      </c>
      <c r="K14" s="117" t="str">
        <f>IFERROR(VLOOKUP(E14,Picklists!$D$3:$I$107,5,FALSE),"")</f>
        <v/>
      </c>
      <c r="L14" s="117" t="str">
        <f t="shared" si="5"/>
        <v/>
      </c>
      <c r="M14" s="117" t="str">
        <f>IFERROR(VLOOKUP(E14,Picklists!$D$3:$I$107,6,FALSE),"")</f>
        <v/>
      </c>
      <c r="N14" s="117" t="str">
        <f t="shared" si="8"/>
        <v/>
      </c>
      <c r="O14" s="36" t="str">
        <f t="shared" si="9"/>
        <v/>
      </c>
      <c r="P14" s="118" t="str">
        <f t="shared" si="1"/>
        <v/>
      </c>
      <c r="Q14" s="118" t="str">
        <f t="shared" si="2"/>
        <v/>
      </c>
      <c r="R14" s="34" t="str">
        <f t="shared" si="6"/>
        <v>complete</v>
      </c>
      <c r="S14" s="119" t="str">
        <f t="shared" si="7"/>
        <v/>
      </c>
      <c r="T14" s="120" t="str">
        <f>IFERROR(+H14/G14,"")</f>
        <v/>
      </c>
      <c r="U14" s="34"/>
      <c r="V14" s="34"/>
      <c r="W14">
        <f t="shared" si="3"/>
        <v>0</v>
      </c>
    </row>
    <row r="15" spans="1:23" ht="20.100000000000001" customHeight="1" x14ac:dyDescent="0.3">
      <c r="A15" s="34"/>
      <c r="B15" s="115"/>
      <c r="C15" s="116">
        <v>6</v>
      </c>
      <c r="D15" s="92"/>
      <c r="E15" s="127"/>
      <c r="F15" s="126"/>
      <c r="G15" s="117" t="str">
        <f>IFERROR(VLOOKUP(E15,Picklists!$D$3:$H$105,3,FALSE),"")</f>
        <v/>
      </c>
      <c r="H15" s="94"/>
      <c r="I15" s="117" t="str">
        <f t="shared" si="4"/>
        <v/>
      </c>
      <c r="J15" s="117" t="str">
        <f>IFERROR(VLOOKUP(E15,Picklists!$D$3:$I$107,4,FALSE),"")</f>
        <v/>
      </c>
      <c r="K15" s="117" t="str">
        <f>IFERROR(VLOOKUP(E15,Picklists!$D$3:$I$107,5,FALSE),"")</f>
        <v/>
      </c>
      <c r="L15" s="117" t="str">
        <f t="shared" si="5"/>
        <v/>
      </c>
      <c r="M15" s="117" t="str">
        <f>IFERROR(VLOOKUP(E15,Picklists!$D$3:$I$107,6,FALSE),"")</f>
        <v/>
      </c>
      <c r="N15" s="117" t="str">
        <f t="shared" si="8"/>
        <v/>
      </c>
      <c r="O15" s="36" t="str">
        <f t="shared" si="9"/>
        <v/>
      </c>
      <c r="P15" s="118" t="str">
        <f t="shared" si="1"/>
        <v/>
      </c>
      <c r="Q15" s="118" t="str">
        <f t="shared" si="2"/>
        <v/>
      </c>
      <c r="R15" s="34" t="str">
        <f t="shared" si="6"/>
        <v>complete</v>
      </c>
      <c r="S15" s="119" t="str">
        <f t="shared" si="7"/>
        <v/>
      </c>
      <c r="T15" s="120" t="str">
        <f>IFERROR(+H15/G15,"")</f>
        <v/>
      </c>
      <c r="U15" s="34"/>
      <c r="V15" s="34"/>
      <c r="W15">
        <f t="shared" si="3"/>
        <v>0</v>
      </c>
    </row>
    <row r="16" spans="1:23" ht="20.100000000000001" customHeight="1" x14ac:dyDescent="0.3">
      <c r="A16" s="34"/>
      <c r="B16" s="115"/>
      <c r="C16" s="116">
        <v>7</v>
      </c>
      <c r="D16" s="92"/>
      <c r="E16" s="127"/>
      <c r="F16" s="126"/>
      <c r="G16" s="117" t="str">
        <f>IFERROR(VLOOKUP(E16,Picklists!$D$3:$H$105,3,FALSE),"")</f>
        <v/>
      </c>
      <c r="H16" s="94"/>
      <c r="I16" s="117" t="str">
        <f t="shared" si="4"/>
        <v/>
      </c>
      <c r="J16" s="117" t="str">
        <f>IFERROR(VLOOKUP(E16,Picklists!$D$3:$I$107,4,FALSE),"")</f>
        <v/>
      </c>
      <c r="K16" s="117" t="str">
        <f>IFERROR(VLOOKUP(E16,Picklists!$D$3:$I$107,5,FALSE),"")</f>
        <v/>
      </c>
      <c r="L16" s="117" t="str">
        <f t="shared" si="5"/>
        <v/>
      </c>
      <c r="M16" s="117" t="str">
        <f>IFERROR(VLOOKUP(E16,Picklists!$D$3:$I$107,6,FALSE),"")</f>
        <v/>
      </c>
      <c r="N16" s="117" t="str">
        <f t="shared" si="8"/>
        <v/>
      </c>
      <c r="O16" s="36" t="str">
        <f t="shared" si="9"/>
        <v/>
      </c>
      <c r="P16" s="118" t="str">
        <f t="shared" si="1"/>
        <v/>
      </c>
      <c r="Q16" s="118" t="str">
        <f t="shared" si="2"/>
        <v/>
      </c>
      <c r="R16" s="34" t="str">
        <f t="shared" si="6"/>
        <v>complete</v>
      </c>
      <c r="S16" s="119" t="str">
        <f t="shared" si="7"/>
        <v/>
      </c>
      <c r="T16" s="34"/>
      <c r="U16" s="90"/>
      <c r="V16" s="34"/>
      <c r="W16">
        <f t="shared" si="3"/>
        <v>0</v>
      </c>
    </row>
    <row r="17" spans="1:23" ht="20.100000000000001" customHeight="1" x14ac:dyDescent="0.3">
      <c r="A17" s="34"/>
      <c r="B17" s="115"/>
      <c r="C17" s="116">
        <v>8</v>
      </c>
      <c r="D17" s="92"/>
      <c r="E17" s="127"/>
      <c r="F17" s="126"/>
      <c r="G17" s="117" t="str">
        <f>IFERROR(VLOOKUP(E17,Picklists!$D$3:$H$105,3,FALSE),"")</f>
        <v/>
      </c>
      <c r="H17" s="94"/>
      <c r="I17" s="117" t="str">
        <f t="shared" si="4"/>
        <v/>
      </c>
      <c r="J17" s="117" t="str">
        <f>IFERROR(VLOOKUP(E17,Picklists!$D$3:$I$107,4,FALSE),"")</f>
        <v/>
      </c>
      <c r="K17" s="117" t="str">
        <f>IFERROR(VLOOKUP(E17,Picklists!$D$3:$I$107,5,FALSE),"")</f>
        <v/>
      </c>
      <c r="L17" s="117" t="str">
        <f t="shared" si="5"/>
        <v/>
      </c>
      <c r="M17" s="117" t="str">
        <f>IFERROR(VLOOKUP(E17,Picklists!$D$3:$I$107,6,FALSE),"")</f>
        <v/>
      </c>
      <c r="N17" s="117" t="str">
        <f t="shared" si="8"/>
        <v/>
      </c>
      <c r="O17" s="36" t="str">
        <f t="shared" si="9"/>
        <v/>
      </c>
      <c r="P17" s="118" t="str">
        <f t="shared" si="1"/>
        <v/>
      </c>
      <c r="Q17" s="118" t="str">
        <f t="shared" si="2"/>
        <v/>
      </c>
      <c r="R17" s="34" t="str">
        <f t="shared" si="6"/>
        <v>complete</v>
      </c>
      <c r="S17" s="119" t="str">
        <f t="shared" si="7"/>
        <v/>
      </c>
      <c r="T17" s="34"/>
      <c r="U17" s="34"/>
      <c r="V17" s="34"/>
      <c r="W17">
        <f t="shared" si="3"/>
        <v>0</v>
      </c>
    </row>
    <row r="18" spans="1:23" ht="20.100000000000001" customHeight="1" x14ac:dyDescent="0.3">
      <c r="A18" s="34"/>
      <c r="B18" s="115"/>
      <c r="C18" s="116">
        <v>9</v>
      </c>
      <c r="D18" s="92"/>
      <c r="E18" s="127"/>
      <c r="F18" s="126"/>
      <c r="G18" s="117" t="str">
        <f>IFERROR(VLOOKUP(E18,Picklists!$D$3:$H$105,3,FALSE),"")</f>
        <v/>
      </c>
      <c r="H18" s="94"/>
      <c r="I18" s="117" t="str">
        <f t="shared" si="4"/>
        <v/>
      </c>
      <c r="J18" s="117" t="str">
        <f>IFERROR(VLOOKUP(E18,Picklists!$D$3:$I$107,4,FALSE),"")</f>
        <v/>
      </c>
      <c r="K18" s="117" t="str">
        <f>IFERROR(VLOOKUP(E18,Picklists!$D$3:$I$107,5,FALSE),"")</f>
        <v/>
      </c>
      <c r="L18" s="117" t="str">
        <f t="shared" si="5"/>
        <v/>
      </c>
      <c r="M18" s="117" t="str">
        <f>IFERROR(VLOOKUP(E18,Picklists!$D$3:$I$107,6,FALSE),"")</f>
        <v/>
      </c>
      <c r="N18" s="117" t="str">
        <f t="shared" si="8"/>
        <v/>
      </c>
      <c r="O18" s="36" t="str">
        <f t="shared" si="9"/>
        <v/>
      </c>
      <c r="P18" s="118" t="str">
        <f t="shared" si="1"/>
        <v/>
      </c>
      <c r="Q18" s="118" t="str">
        <f t="shared" si="2"/>
        <v/>
      </c>
      <c r="R18" s="34" t="str">
        <f t="shared" si="6"/>
        <v>complete</v>
      </c>
      <c r="S18" s="119" t="str">
        <f t="shared" si="7"/>
        <v/>
      </c>
      <c r="T18" s="374"/>
      <c r="U18" s="374"/>
      <c r="V18" s="34"/>
      <c r="W18">
        <f t="shared" si="3"/>
        <v>0</v>
      </c>
    </row>
    <row r="19" spans="1:23" ht="20.100000000000001" customHeight="1" x14ac:dyDescent="0.3">
      <c r="A19" s="34"/>
      <c r="B19" s="115"/>
      <c r="C19" s="116">
        <v>10</v>
      </c>
      <c r="D19" s="92"/>
      <c r="E19" s="127"/>
      <c r="F19" s="126"/>
      <c r="G19" s="117" t="str">
        <f>IFERROR(VLOOKUP(E19,Picklists!$D$3:$H$105,3,FALSE),"")</f>
        <v/>
      </c>
      <c r="H19" s="94"/>
      <c r="I19" s="117" t="str">
        <f t="shared" si="4"/>
        <v/>
      </c>
      <c r="J19" s="117" t="str">
        <f>IFERROR(VLOOKUP(E19,Picklists!$D$3:$I$107,4,FALSE),"")</f>
        <v/>
      </c>
      <c r="K19" s="117" t="str">
        <f>IFERROR(VLOOKUP(E19,Picklists!$D$3:$I$107,5,FALSE),"")</f>
        <v/>
      </c>
      <c r="L19" s="117" t="str">
        <f t="shared" si="5"/>
        <v/>
      </c>
      <c r="M19" s="117" t="str">
        <f>IFERROR(VLOOKUP(E19,Picklists!$D$3:$I$107,6,FALSE),"")</f>
        <v/>
      </c>
      <c r="N19" s="117" t="str">
        <f t="shared" si="8"/>
        <v/>
      </c>
      <c r="O19" s="36" t="str">
        <f t="shared" si="9"/>
        <v/>
      </c>
      <c r="P19" s="118" t="str">
        <f t="shared" si="1"/>
        <v/>
      </c>
      <c r="Q19" s="118" t="str">
        <f t="shared" si="2"/>
        <v/>
      </c>
      <c r="R19" s="34" t="str">
        <f t="shared" si="6"/>
        <v>complete</v>
      </c>
      <c r="S19" s="119" t="str">
        <f t="shared" si="7"/>
        <v/>
      </c>
      <c r="T19" s="374"/>
      <c r="U19" s="374"/>
      <c r="V19" s="34"/>
      <c r="W19">
        <f t="shared" si="3"/>
        <v>0</v>
      </c>
    </row>
    <row r="20" spans="1:23" ht="20.100000000000001" customHeight="1" x14ac:dyDescent="0.3">
      <c r="A20" s="34"/>
      <c r="B20" s="115"/>
      <c r="C20" s="116">
        <v>11</v>
      </c>
      <c r="D20" s="92"/>
      <c r="E20" s="127"/>
      <c r="F20" s="126"/>
      <c r="G20" s="117" t="str">
        <f>IFERROR(VLOOKUP(E20,Picklists!$D$3:$H$105,3,FALSE),"")</f>
        <v/>
      </c>
      <c r="H20" s="94"/>
      <c r="I20" s="117" t="str">
        <f t="shared" si="4"/>
        <v/>
      </c>
      <c r="J20" s="117" t="str">
        <f>IFERROR(VLOOKUP(E20,Picklists!$D$3:$I$107,4,FALSE),"")</f>
        <v/>
      </c>
      <c r="K20" s="117" t="str">
        <f>IFERROR(VLOOKUP(E20,Picklists!$D$3:$I$107,5,FALSE),"")</f>
        <v/>
      </c>
      <c r="L20" s="117" t="str">
        <f t="shared" si="5"/>
        <v/>
      </c>
      <c r="M20" s="117" t="str">
        <f>IFERROR(VLOOKUP(E20,Picklists!$D$3:$I$107,6,FALSE),"")</f>
        <v/>
      </c>
      <c r="N20" s="117" t="str">
        <f t="shared" si="8"/>
        <v/>
      </c>
      <c r="O20" s="36" t="str">
        <f t="shared" si="9"/>
        <v/>
      </c>
      <c r="P20" s="118" t="str">
        <f t="shared" si="1"/>
        <v/>
      </c>
      <c r="Q20" s="118" t="str">
        <f t="shared" si="2"/>
        <v/>
      </c>
      <c r="R20" s="34" t="str">
        <f t="shared" si="6"/>
        <v>complete</v>
      </c>
      <c r="S20" s="119" t="str">
        <f t="shared" si="7"/>
        <v/>
      </c>
      <c r="T20" s="374"/>
      <c r="U20" s="374"/>
      <c r="V20" s="34"/>
      <c r="W20">
        <f t="shared" si="3"/>
        <v>0</v>
      </c>
    </row>
    <row r="21" spans="1:23" ht="20.100000000000001" customHeight="1" x14ac:dyDescent="0.3">
      <c r="A21" s="34"/>
      <c r="B21" s="115"/>
      <c r="C21" s="116">
        <v>12</v>
      </c>
      <c r="D21" s="92"/>
      <c r="E21" s="127"/>
      <c r="F21" s="126"/>
      <c r="G21" s="117" t="str">
        <f>IFERROR(VLOOKUP(E21,Picklists!$D$3:$H$105,3,FALSE),"")</f>
        <v/>
      </c>
      <c r="H21" s="94"/>
      <c r="I21" s="117" t="str">
        <f t="shared" si="4"/>
        <v/>
      </c>
      <c r="J21" s="117" t="str">
        <f>IFERROR(VLOOKUP(E21,Picklists!$D$3:$I$107,4,FALSE),"")</f>
        <v/>
      </c>
      <c r="K21" s="117" t="str">
        <f>IFERROR(VLOOKUP(E21,Picklists!$D$3:$I$107,5,FALSE),"")</f>
        <v/>
      </c>
      <c r="L21" s="117" t="str">
        <f t="shared" si="5"/>
        <v/>
      </c>
      <c r="M21" s="117" t="str">
        <f>IFERROR(VLOOKUP(E21,Picklists!$D$3:$I$107,6,FALSE),"")</f>
        <v/>
      </c>
      <c r="N21" s="117" t="str">
        <f t="shared" si="8"/>
        <v/>
      </c>
      <c r="O21" s="36" t="str">
        <f t="shared" si="9"/>
        <v/>
      </c>
      <c r="P21" s="118" t="str">
        <f t="shared" si="1"/>
        <v/>
      </c>
      <c r="Q21" s="118" t="str">
        <f t="shared" si="2"/>
        <v/>
      </c>
      <c r="R21" s="34" t="str">
        <f t="shared" si="6"/>
        <v>complete</v>
      </c>
      <c r="S21" s="119" t="str">
        <f t="shared" si="7"/>
        <v/>
      </c>
      <c r="T21" s="374"/>
      <c r="U21" s="374"/>
      <c r="V21" s="34"/>
      <c r="W21">
        <f t="shared" si="3"/>
        <v>0</v>
      </c>
    </row>
    <row r="22" spans="1:23" ht="20.100000000000001" customHeight="1" x14ac:dyDescent="0.3">
      <c r="A22" s="34"/>
      <c r="B22" s="115"/>
      <c r="C22" s="116">
        <v>13</v>
      </c>
      <c r="D22" s="92"/>
      <c r="E22" s="127"/>
      <c r="F22" s="126"/>
      <c r="G22" s="117" t="str">
        <f>IFERROR(VLOOKUP(E22,Picklists!$D$3:$H$105,3,FALSE),"")</f>
        <v/>
      </c>
      <c r="H22" s="94"/>
      <c r="I22" s="117" t="str">
        <f t="shared" si="4"/>
        <v/>
      </c>
      <c r="J22" s="117" t="str">
        <f>IFERROR(VLOOKUP(E22,Picklists!$D$3:$I$107,4,FALSE),"")</f>
        <v/>
      </c>
      <c r="K22" s="117" t="str">
        <f>IFERROR(VLOOKUP(E22,Picklists!$D$3:$I$107,5,FALSE),"")</f>
        <v/>
      </c>
      <c r="L22" s="117" t="str">
        <f t="shared" si="5"/>
        <v/>
      </c>
      <c r="M22" s="117" t="str">
        <f>IFERROR(VLOOKUP(E22,Picklists!$D$3:$I$107,6,FALSE),"")</f>
        <v/>
      </c>
      <c r="N22" s="117" t="str">
        <f t="shared" si="8"/>
        <v/>
      </c>
      <c r="O22" s="36" t="str">
        <f t="shared" si="9"/>
        <v/>
      </c>
      <c r="P22" s="118" t="str">
        <f t="shared" si="1"/>
        <v/>
      </c>
      <c r="Q22" s="118" t="str">
        <f t="shared" si="2"/>
        <v/>
      </c>
      <c r="R22" s="34" t="str">
        <f t="shared" si="6"/>
        <v>complete</v>
      </c>
      <c r="S22" s="119" t="str">
        <f t="shared" si="7"/>
        <v/>
      </c>
      <c r="T22" s="374"/>
      <c r="U22" s="374"/>
      <c r="V22" s="34"/>
      <c r="W22">
        <f t="shared" si="3"/>
        <v>0</v>
      </c>
    </row>
    <row r="23" spans="1:23" ht="20.100000000000001" customHeight="1" x14ac:dyDescent="0.3">
      <c r="A23" s="34"/>
      <c r="B23" s="115"/>
      <c r="C23" s="116">
        <v>14</v>
      </c>
      <c r="D23" s="92"/>
      <c r="E23" s="127"/>
      <c r="F23" s="126"/>
      <c r="G23" s="117" t="str">
        <f>IFERROR(VLOOKUP(E23,Picklists!$D$3:$H$105,3,FALSE),"")</f>
        <v/>
      </c>
      <c r="H23" s="94"/>
      <c r="I23" s="117" t="str">
        <f t="shared" si="4"/>
        <v/>
      </c>
      <c r="J23" s="117" t="str">
        <f>IFERROR(VLOOKUP(E23,Picklists!$D$3:$I$107,4,FALSE),"")</f>
        <v/>
      </c>
      <c r="K23" s="117" t="str">
        <f>IFERROR(VLOOKUP(E23,Picklists!$D$3:$I$107,5,FALSE),"")</f>
        <v/>
      </c>
      <c r="L23" s="117" t="str">
        <f t="shared" si="5"/>
        <v/>
      </c>
      <c r="M23" s="117" t="str">
        <f>IFERROR(VLOOKUP(E23,Picklists!$D$3:$I$107,6,FALSE),"")</f>
        <v/>
      </c>
      <c r="N23" s="117" t="str">
        <f t="shared" si="8"/>
        <v/>
      </c>
      <c r="O23" s="36" t="str">
        <f t="shared" si="9"/>
        <v/>
      </c>
      <c r="P23" s="118" t="str">
        <f t="shared" si="1"/>
        <v/>
      </c>
      <c r="Q23" s="118" t="str">
        <f t="shared" si="2"/>
        <v/>
      </c>
      <c r="R23" s="34" t="str">
        <f t="shared" si="6"/>
        <v>complete</v>
      </c>
      <c r="S23" s="119" t="str">
        <f t="shared" si="7"/>
        <v/>
      </c>
      <c r="T23" s="118"/>
      <c r="U23" s="118"/>
      <c r="V23" s="34"/>
      <c r="W23">
        <f t="shared" si="3"/>
        <v>0</v>
      </c>
    </row>
    <row r="24" spans="1:23" ht="20.100000000000001" customHeight="1" x14ac:dyDescent="0.3">
      <c r="A24" s="34"/>
      <c r="B24" s="115"/>
      <c r="C24" s="116">
        <v>15</v>
      </c>
      <c r="D24" s="92"/>
      <c r="E24" s="127"/>
      <c r="F24" s="126"/>
      <c r="G24" s="117" t="str">
        <f>IFERROR(VLOOKUP(E24,Picklists!$D$3:$H$105,3,FALSE),"")</f>
        <v/>
      </c>
      <c r="H24" s="94"/>
      <c r="I24" s="117" t="str">
        <f t="shared" si="4"/>
        <v/>
      </c>
      <c r="J24" s="117" t="str">
        <f>IFERROR(VLOOKUP(E24,Picklists!$D$3:$I$107,4,FALSE),"")</f>
        <v/>
      </c>
      <c r="K24" s="117" t="str">
        <f>IFERROR(VLOOKUP(E24,Picklists!$D$3:$I$107,5,FALSE),"")</f>
        <v/>
      </c>
      <c r="L24" s="117" t="str">
        <f t="shared" si="5"/>
        <v/>
      </c>
      <c r="M24" s="117" t="str">
        <f>IFERROR(VLOOKUP(E24,Picklists!$D$3:$I$107,6,FALSE),"")</f>
        <v/>
      </c>
      <c r="N24" s="117" t="str">
        <f t="shared" si="8"/>
        <v/>
      </c>
      <c r="O24" s="36" t="str">
        <f t="shared" si="9"/>
        <v/>
      </c>
      <c r="P24" s="118" t="str">
        <f t="shared" si="1"/>
        <v/>
      </c>
      <c r="Q24" s="118" t="str">
        <f t="shared" si="2"/>
        <v/>
      </c>
      <c r="R24" s="34" t="str">
        <f t="shared" si="6"/>
        <v>complete</v>
      </c>
      <c r="S24" s="119" t="str">
        <f t="shared" si="7"/>
        <v/>
      </c>
      <c r="T24" s="121"/>
      <c r="U24" s="121"/>
      <c r="V24" s="34"/>
      <c r="W24">
        <f t="shared" si="3"/>
        <v>0</v>
      </c>
    </row>
    <row r="25" spans="1:23" ht="20.100000000000001" customHeight="1" x14ac:dyDescent="0.3">
      <c r="A25" s="34"/>
      <c r="B25" s="115"/>
      <c r="C25" s="116">
        <v>16</v>
      </c>
      <c r="D25" s="92"/>
      <c r="E25" s="127"/>
      <c r="F25" s="126"/>
      <c r="G25" s="117" t="str">
        <f>IFERROR(VLOOKUP(E25,Picklists!$D$3:$H$105,3,FALSE),"")</f>
        <v/>
      </c>
      <c r="H25" s="94"/>
      <c r="I25" s="117" t="str">
        <f t="shared" si="4"/>
        <v/>
      </c>
      <c r="J25" s="117" t="str">
        <f>IFERROR(VLOOKUP(E25,Picklists!$D$3:$I$107,4,FALSE),"")</f>
        <v/>
      </c>
      <c r="K25" s="117" t="str">
        <f>IFERROR(VLOOKUP(E25,Picklists!$D$3:$I$107,5,FALSE),"")</f>
        <v/>
      </c>
      <c r="L25" s="117" t="str">
        <f t="shared" si="5"/>
        <v/>
      </c>
      <c r="M25" s="117" t="str">
        <f>IFERROR(VLOOKUP(E25,Picklists!$D$3:$I$107,6,FALSE),"")</f>
        <v/>
      </c>
      <c r="N25" s="117" t="str">
        <f t="shared" si="8"/>
        <v/>
      </c>
      <c r="O25" s="36" t="str">
        <f t="shared" si="9"/>
        <v/>
      </c>
      <c r="P25" s="118" t="str">
        <f t="shared" si="1"/>
        <v/>
      </c>
      <c r="Q25" s="118" t="str">
        <f t="shared" si="2"/>
        <v/>
      </c>
      <c r="R25" s="34" t="str">
        <f t="shared" si="6"/>
        <v>complete</v>
      </c>
      <c r="S25" s="119" t="str">
        <f t="shared" si="7"/>
        <v/>
      </c>
      <c r="T25" s="121"/>
      <c r="U25" s="121"/>
      <c r="V25" s="34"/>
      <c r="W25">
        <f t="shared" si="3"/>
        <v>0</v>
      </c>
    </row>
    <row r="26" spans="1:23" ht="20.100000000000001" customHeight="1" x14ac:dyDescent="0.3">
      <c r="A26" s="34"/>
      <c r="B26" s="115"/>
      <c r="C26" s="116">
        <v>17</v>
      </c>
      <c r="D26" s="92"/>
      <c r="E26" s="127"/>
      <c r="F26" s="126"/>
      <c r="G26" s="117" t="str">
        <f>IFERROR(VLOOKUP(E26,Picklists!$D$3:$H$105,3,FALSE),"")</f>
        <v/>
      </c>
      <c r="H26" s="94"/>
      <c r="I26" s="117" t="str">
        <f t="shared" si="4"/>
        <v/>
      </c>
      <c r="J26" s="117" t="str">
        <f>IFERROR(VLOOKUP(E26,Picklists!$D$3:$I$107,4,FALSE),"")</f>
        <v/>
      </c>
      <c r="K26" s="117" t="str">
        <f>IFERROR(VLOOKUP(E26,Picklists!$D$3:$I$107,5,FALSE),"")</f>
        <v/>
      </c>
      <c r="L26" s="117" t="str">
        <f t="shared" si="5"/>
        <v/>
      </c>
      <c r="M26" s="117" t="str">
        <f>IFERROR(VLOOKUP(E26,Picklists!$D$3:$I$107,6,FALSE),"")</f>
        <v/>
      </c>
      <c r="N26" s="117" t="str">
        <f t="shared" si="8"/>
        <v/>
      </c>
      <c r="O26" s="36" t="str">
        <f t="shared" si="9"/>
        <v/>
      </c>
      <c r="P26" s="118" t="str">
        <f t="shared" si="1"/>
        <v/>
      </c>
      <c r="Q26" s="118" t="str">
        <f t="shared" si="2"/>
        <v/>
      </c>
      <c r="R26" s="34" t="str">
        <f t="shared" si="6"/>
        <v>complete</v>
      </c>
      <c r="S26" s="119" t="str">
        <f t="shared" si="7"/>
        <v/>
      </c>
      <c r="T26" s="121"/>
      <c r="U26" s="121"/>
      <c r="V26" s="34"/>
      <c r="W26">
        <f t="shared" si="3"/>
        <v>0</v>
      </c>
    </row>
    <row r="27" spans="1:23" ht="20.100000000000001" customHeight="1" x14ac:dyDescent="0.3">
      <c r="A27" s="34"/>
      <c r="B27" s="115"/>
      <c r="C27" s="116">
        <v>18</v>
      </c>
      <c r="D27" s="92"/>
      <c r="E27" s="127"/>
      <c r="F27" s="126"/>
      <c r="G27" s="117" t="str">
        <f>IFERROR(VLOOKUP(E27,Picklists!$D$3:$H$105,3,FALSE),"")</f>
        <v/>
      </c>
      <c r="H27" s="94"/>
      <c r="I27" s="117" t="str">
        <f t="shared" si="4"/>
        <v/>
      </c>
      <c r="J27" s="117" t="str">
        <f>IFERROR(VLOOKUP(E27,Picklists!$D$3:$I$107,4,FALSE),"")</f>
        <v/>
      </c>
      <c r="K27" s="117" t="str">
        <f>IFERROR(VLOOKUP(E27,Picklists!$D$3:$I$107,5,FALSE),"")</f>
        <v/>
      </c>
      <c r="L27" s="117" t="str">
        <f t="shared" si="5"/>
        <v/>
      </c>
      <c r="M27" s="117" t="str">
        <f>IFERROR(VLOOKUP(E27,Picklists!$D$3:$I$107,6,FALSE),"")</f>
        <v/>
      </c>
      <c r="N27" s="117" t="str">
        <f t="shared" si="8"/>
        <v/>
      </c>
      <c r="O27" s="36" t="str">
        <f t="shared" si="9"/>
        <v/>
      </c>
      <c r="P27" s="118" t="str">
        <f t="shared" si="1"/>
        <v/>
      </c>
      <c r="Q27" s="118" t="str">
        <f t="shared" si="2"/>
        <v/>
      </c>
      <c r="R27" s="34" t="str">
        <f t="shared" si="6"/>
        <v>complete</v>
      </c>
      <c r="S27" s="119" t="str">
        <f t="shared" si="7"/>
        <v/>
      </c>
      <c r="T27" s="375"/>
      <c r="U27" s="375"/>
      <c r="V27" s="34"/>
      <c r="W27">
        <f t="shared" si="3"/>
        <v>0</v>
      </c>
    </row>
    <row r="28" spans="1:23" ht="20.100000000000001" customHeight="1" x14ac:dyDescent="0.3">
      <c r="A28" s="34"/>
      <c r="B28" s="115"/>
      <c r="C28" s="116">
        <v>19</v>
      </c>
      <c r="D28" s="92"/>
      <c r="E28" s="127"/>
      <c r="F28" s="126"/>
      <c r="G28" s="117" t="str">
        <f>IFERROR(VLOOKUP(E28,Picklists!$D$3:$H$105,3,FALSE),"")</f>
        <v/>
      </c>
      <c r="H28" s="94"/>
      <c r="I28" s="117" t="str">
        <f t="shared" si="4"/>
        <v/>
      </c>
      <c r="J28" s="117" t="str">
        <f>IFERROR(VLOOKUP(E28,Picklists!$D$3:$I$107,4,FALSE),"")</f>
        <v/>
      </c>
      <c r="K28" s="117" t="str">
        <f>IFERROR(VLOOKUP(E28,Picklists!$D$3:$I$107,5,FALSE),"")</f>
        <v/>
      </c>
      <c r="L28" s="117" t="str">
        <f t="shared" si="5"/>
        <v/>
      </c>
      <c r="M28" s="117" t="str">
        <f>IFERROR(VLOOKUP(E28,Picklists!$D$3:$I$107,6,FALSE),"")</f>
        <v/>
      </c>
      <c r="N28" s="117" t="str">
        <f t="shared" si="8"/>
        <v/>
      </c>
      <c r="O28" s="36" t="str">
        <f t="shared" si="9"/>
        <v/>
      </c>
      <c r="P28" s="118" t="str">
        <f t="shared" si="1"/>
        <v/>
      </c>
      <c r="Q28" s="118" t="str">
        <f t="shared" si="2"/>
        <v/>
      </c>
      <c r="R28" s="34" t="str">
        <f t="shared" si="6"/>
        <v>complete</v>
      </c>
      <c r="S28" s="119" t="str">
        <f t="shared" si="7"/>
        <v/>
      </c>
      <c r="T28" s="375"/>
      <c r="U28" s="375"/>
      <c r="V28" s="34"/>
      <c r="W28">
        <f t="shared" si="3"/>
        <v>0</v>
      </c>
    </row>
    <row r="29" spans="1:23" ht="20.100000000000001" customHeight="1" x14ac:dyDescent="0.3">
      <c r="A29" s="34"/>
      <c r="B29" s="115"/>
      <c r="C29" s="116">
        <v>20</v>
      </c>
      <c r="D29" s="93"/>
      <c r="E29" s="128"/>
      <c r="F29" s="126"/>
      <c r="G29" s="117" t="str">
        <f>IFERROR(VLOOKUP(E29,Picklists!$D$3:$H$105,3,FALSE),"")</f>
        <v/>
      </c>
      <c r="H29" s="94"/>
      <c r="I29" s="117" t="str">
        <f t="shared" si="4"/>
        <v/>
      </c>
      <c r="J29" s="117" t="str">
        <f>IFERROR(VLOOKUP(E29,Picklists!$D$3:$I$107,4,FALSE),"")</f>
        <v/>
      </c>
      <c r="K29" s="117" t="str">
        <f>IFERROR(VLOOKUP(E29,Picklists!$D$3:$I$107,5,FALSE),"")</f>
        <v/>
      </c>
      <c r="L29" s="117" t="str">
        <f t="shared" si="5"/>
        <v/>
      </c>
      <c r="M29" s="117" t="str">
        <f>IFERROR(VLOOKUP(E29,Picklists!$D$3:$I$107,6,FALSE),"")</f>
        <v/>
      </c>
      <c r="N29" s="117" t="str">
        <f t="shared" si="8"/>
        <v/>
      </c>
      <c r="O29" s="36" t="str">
        <f t="shared" si="9"/>
        <v/>
      </c>
      <c r="P29" s="118" t="str">
        <f t="shared" si="1"/>
        <v/>
      </c>
      <c r="Q29" s="118" t="str">
        <f t="shared" si="2"/>
        <v/>
      </c>
      <c r="R29" s="34" t="str">
        <f t="shared" si="6"/>
        <v>complete</v>
      </c>
      <c r="S29" s="119" t="str">
        <f t="shared" si="7"/>
        <v/>
      </c>
      <c r="T29" s="375"/>
      <c r="U29" s="375"/>
      <c r="V29" s="34"/>
      <c r="W29">
        <f t="shared" si="3"/>
        <v>0</v>
      </c>
    </row>
    <row r="30" spans="1:23" ht="20.100000000000001" customHeight="1" x14ac:dyDescent="0.3">
      <c r="A30" s="34"/>
      <c r="B30" s="115"/>
      <c r="C30" s="116">
        <v>21</v>
      </c>
      <c r="D30" s="93"/>
      <c r="E30" s="128"/>
      <c r="F30" s="126"/>
      <c r="G30" s="117" t="str">
        <f>IFERROR(VLOOKUP(E30,Picklists!$D$3:$H$105,3,FALSE),"")</f>
        <v/>
      </c>
      <c r="H30" s="94"/>
      <c r="I30" s="117" t="str">
        <f t="shared" si="4"/>
        <v/>
      </c>
      <c r="J30" s="117" t="str">
        <f>IFERROR(VLOOKUP(E30,Picklists!$D$3:$I$107,4,FALSE),"")</f>
        <v/>
      </c>
      <c r="K30" s="117" t="str">
        <f>IFERROR(VLOOKUP(E30,Picklists!$D$3:$I$107,5,FALSE),"")</f>
        <v/>
      </c>
      <c r="L30" s="117" t="str">
        <f t="shared" si="5"/>
        <v/>
      </c>
      <c r="M30" s="117" t="str">
        <f>IFERROR(VLOOKUP(E30,Picklists!$D$3:$I$107,6,FALSE),"")</f>
        <v/>
      </c>
      <c r="N30" s="117" t="str">
        <f t="shared" si="8"/>
        <v/>
      </c>
      <c r="O30" s="36" t="str">
        <f t="shared" si="9"/>
        <v/>
      </c>
      <c r="P30" s="118" t="str">
        <f t="shared" si="1"/>
        <v/>
      </c>
      <c r="Q30" s="118" t="str">
        <f t="shared" si="2"/>
        <v/>
      </c>
      <c r="R30" s="34" t="str">
        <f t="shared" si="6"/>
        <v>complete</v>
      </c>
      <c r="S30" s="119" t="str">
        <f t="shared" si="7"/>
        <v/>
      </c>
      <c r="T30" s="34"/>
      <c r="U30" s="34"/>
      <c r="V30" s="34"/>
      <c r="W30">
        <f t="shared" si="3"/>
        <v>0</v>
      </c>
    </row>
    <row r="31" spans="1:23" ht="20.100000000000001" customHeight="1" x14ac:dyDescent="0.3">
      <c r="A31" s="34"/>
      <c r="B31" s="115"/>
      <c r="C31" s="116">
        <v>22</v>
      </c>
      <c r="D31" s="93"/>
      <c r="E31" s="128"/>
      <c r="F31" s="126"/>
      <c r="G31" s="117" t="str">
        <f>IFERROR(VLOOKUP(E31,Picklists!$D$3:$H$105,3,FALSE),"")</f>
        <v/>
      </c>
      <c r="H31" s="94"/>
      <c r="I31" s="117" t="str">
        <f t="shared" si="4"/>
        <v/>
      </c>
      <c r="J31" s="117" t="str">
        <f>IFERROR(VLOOKUP(E31,Picklists!$D$3:$I$107,4,FALSE),"")</f>
        <v/>
      </c>
      <c r="K31" s="117" t="str">
        <f>IFERROR(VLOOKUP(E31,Picklists!$D$3:$I$107,5,FALSE),"")</f>
        <v/>
      </c>
      <c r="L31" s="117" t="str">
        <f t="shared" si="5"/>
        <v/>
      </c>
      <c r="M31" s="117" t="str">
        <f>IFERROR(VLOOKUP(E31,Picklists!$D$3:$I$107,6,FALSE),"")</f>
        <v/>
      </c>
      <c r="N31" s="117" t="str">
        <f t="shared" si="8"/>
        <v/>
      </c>
      <c r="O31" s="36" t="str">
        <f t="shared" si="9"/>
        <v/>
      </c>
      <c r="P31" s="118" t="str">
        <f t="shared" si="1"/>
        <v/>
      </c>
      <c r="Q31" s="118" t="str">
        <f t="shared" si="2"/>
        <v/>
      </c>
      <c r="R31" s="34" t="str">
        <f t="shared" si="6"/>
        <v>complete</v>
      </c>
      <c r="S31" s="119" t="str">
        <f t="shared" si="7"/>
        <v/>
      </c>
      <c r="T31" s="34"/>
      <c r="U31" s="34"/>
      <c r="V31" s="34"/>
      <c r="W31">
        <f t="shared" si="3"/>
        <v>0</v>
      </c>
    </row>
    <row r="32" spans="1:23" ht="20.100000000000001" customHeight="1" x14ac:dyDescent="0.3">
      <c r="A32" s="34"/>
      <c r="B32" s="115"/>
      <c r="C32" s="116">
        <v>23</v>
      </c>
      <c r="D32" s="93"/>
      <c r="E32" s="128"/>
      <c r="F32" s="126"/>
      <c r="G32" s="117" t="str">
        <f>IFERROR(VLOOKUP(E32,Picklists!$D$3:$H$105,3,FALSE),"")</f>
        <v/>
      </c>
      <c r="H32" s="94"/>
      <c r="I32" s="117" t="str">
        <f t="shared" si="4"/>
        <v/>
      </c>
      <c r="J32" s="117" t="str">
        <f>IFERROR(VLOOKUP(E32,Picklists!$D$3:$I$107,4,FALSE),"")</f>
        <v/>
      </c>
      <c r="K32" s="117" t="str">
        <f>IFERROR(VLOOKUP(E32,Picklists!$D$3:$I$107,5,FALSE),"")</f>
        <v/>
      </c>
      <c r="L32" s="117" t="str">
        <f t="shared" si="5"/>
        <v/>
      </c>
      <c r="M32" s="117" t="str">
        <f>IFERROR(VLOOKUP(E32,Picklists!$D$3:$I$107,6,FALSE),"")</f>
        <v/>
      </c>
      <c r="N32" s="117" t="str">
        <f t="shared" si="8"/>
        <v/>
      </c>
      <c r="O32" s="36" t="str">
        <f t="shared" si="9"/>
        <v/>
      </c>
      <c r="P32" s="118" t="str">
        <f t="shared" si="1"/>
        <v/>
      </c>
      <c r="Q32" s="118" t="str">
        <f t="shared" si="2"/>
        <v/>
      </c>
      <c r="R32" s="34" t="str">
        <f t="shared" si="6"/>
        <v>complete</v>
      </c>
      <c r="S32" s="119" t="str">
        <f t="shared" si="7"/>
        <v/>
      </c>
      <c r="T32" s="34"/>
      <c r="U32" s="34"/>
      <c r="V32" s="34"/>
      <c r="W32">
        <f t="shared" si="3"/>
        <v>0</v>
      </c>
    </row>
    <row r="33" spans="1:23" ht="20.100000000000001" customHeight="1" x14ac:dyDescent="0.3">
      <c r="A33" s="34"/>
      <c r="B33" s="115"/>
      <c r="C33" s="116">
        <v>24</v>
      </c>
      <c r="D33" s="93"/>
      <c r="E33" s="128"/>
      <c r="F33" s="126"/>
      <c r="G33" s="117" t="str">
        <f>IFERROR(VLOOKUP(E33,Picklists!$D$3:$H$105,3,FALSE),"")</f>
        <v/>
      </c>
      <c r="H33" s="94"/>
      <c r="I33" s="117" t="str">
        <f t="shared" si="4"/>
        <v/>
      </c>
      <c r="J33" s="117" t="str">
        <f>IFERROR(VLOOKUP(E33,Picklists!$D$3:$I$107,4,FALSE),"")</f>
        <v/>
      </c>
      <c r="K33" s="117" t="str">
        <f>IFERROR(VLOOKUP(E33,Picklists!$D$3:$I$107,5,FALSE),"")</f>
        <v/>
      </c>
      <c r="L33" s="117" t="str">
        <f t="shared" si="5"/>
        <v/>
      </c>
      <c r="M33" s="117" t="str">
        <f>IFERROR(VLOOKUP(E33,Picklists!$D$3:$I$107,6,FALSE),"")</f>
        <v/>
      </c>
      <c r="N33" s="117" t="str">
        <f t="shared" si="8"/>
        <v/>
      </c>
      <c r="O33" s="36" t="str">
        <f t="shared" si="9"/>
        <v/>
      </c>
      <c r="P33" s="118" t="str">
        <f t="shared" si="1"/>
        <v/>
      </c>
      <c r="Q33" s="118" t="str">
        <f t="shared" si="2"/>
        <v/>
      </c>
      <c r="R33" s="34" t="str">
        <f t="shared" si="6"/>
        <v>complete</v>
      </c>
      <c r="S33" s="119" t="str">
        <f t="shared" si="7"/>
        <v/>
      </c>
      <c r="T33" s="34"/>
      <c r="U33" s="34"/>
      <c r="V33" s="34"/>
      <c r="W33">
        <f t="shared" si="3"/>
        <v>0</v>
      </c>
    </row>
    <row r="34" spans="1:23" ht="20.100000000000001" customHeight="1" x14ac:dyDescent="0.3">
      <c r="A34" s="34"/>
      <c r="B34" s="115"/>
      <c r="C34" s="116">
        <v>25</v>
      </c>
      <c r="D34" s="92"/>
      <c r="E34" s="127"/>
      <c r="F34" s="126"/>
      <c r="G34" s="117" t="str">
        <f>IFERROR(VLOOKUP(E34,Picklists!$D$3:$H$105,3,FALSE),"")</f>
        <v/>
      </c>
      <c r="H34" s="94"/>
      <c r="I34" s="117" t="str">
        <f t="shared" si="4"/>
        <v/>
      </c>
      <c r="J34" s="117" t="str">
        <f>IFERROR(VLOOKUP(E34,Picklists!$D$3:$I$107,4,FALSE),"")</f>
        <v/>
      </c>
      <c r="K34" s="117" t="str">
        <f>IFERROR(VLOOKUP(E34,Picklists!$D$3:$I$107,5,FALSE),"")</f>
        <v/>
      </c>
      <c r="L34" s="117" t="str">
        <f t="shared" si="5"/>
        <v/>
      </c>
      <c r="M34" s="117" t="str">
        <f>IFERROR(VLOOKUP(E34,Picklists!$D$3:$I$107,6,FALSE),"")</f>
        <v/>
      </c>
      <c r="N34" s="117" t="str">
        <f t="shared" si="8"/>
        <v/>
      </c>
      <c r="O34" s="36" t="str">
        <f t="shared" si="9"/>
        <v/>
      </c>
      <c r="P34" s="118" t="str">
        <f t="shared" si="1"/>
        <v/>
      </c>
      <c r="Q34" s="118" t="str">
        <f t="shared" si="2"/>
        <v/>
      </c>
      <c r="R34" s="34" t="str">
        <f t="shared" si="6"/>
        <v>complete</v>
      </c>
      <c r="S34" s="119" t="str">
        <f t="shared" si="7"/>
        <v/>
      </c>
      <c r="T34" s="34"/>
      <c r="U34" s="34"/>
      <c r="V34" s="34"/>
      <c r="W34">
        <f t="shared" si="3"/>
        <v>0</v>
      </c>
    </row>
    <row r="35" spans="1:23" x14ac:dyDescent="0.3">
      <c r="A35" s="34"/>
      <c r="B35" s="33"/>
      <c r="C35" s="34"/>
      <c r="D35" s="34"/>
      <c r="E35" s="34"/>
      <c r="F35" s="34"/>
      <c r="G35" s="90"/>
      <c r="H35" s="34"/>
      <c r="I35" s="34"/>
      <c r="J35" s="34"/>
      <c r="K35" s="34"/>
      <c r="L35" s="34"/>
      <c r="M35" s="34"/>
      <c r="N35" s="34"/>
      <c r="O35" s="36"/>
      <c r="P35" s="34"/>
      <c r="Q35" s="34"/>
      <c r="R35" s="34"/>
      <c r="S35" s="34"/>
      <c r="T35" s="34"/>
      <c r="U35" s="34"/>
      <c r="V35" s="34"/>
    </row>
    <row r="36" spans="1:23" x14ac:dyDescent="0.3">
      <c r="A36" s="34"/>
      <c r="B36" s="33"/>
      <c r="C36" s="34"/>
      <c r="D36" s="34"/>
      <c r="E36" s="34"/>
      <c r="F36" s="34"/>
      <c r="G36" s="81"/>
      <c r="H36" s="34"/>
      <c r="I36" s="34"/>
      <c r="J36" s="34"/>
      <c r="K36" s="34"/>
      <c r="L36" s="34"/>
      <c r="M36" s="34"/>
      <c r="N36" s="34"/>
      <c r="O36" s="36"/>
      <c r="P36" s="34"/>
      <c r="Q36" s="34"/>
      <c r="R36" s="34"/>
      <c r="S36" s="34"/>
      <c r="T36" s="34"/>
      <c r="U36" s="34"/>
      <c r="V36" s="34"/>
    </row>
    <row r="37" spans="1:23" x14ac:dyDescent="0.3">
      <c r="A37" s="34"/>
      <c r="B37" s="33"/>
      <c r="C37" s="81"/>
      <c r="D37" s="34"/>
      <c r="E37" s="34"/>
      <c r="F37" s="34"/>
      <c r="G37" s="90"/>
      <c r="H37" s="34"/>
      <c r="I37" s="34"/>
      <c r="J37" s="34"/>
      <c r="K37" s="34"/>
      <c r="L37" s="34"/>
      <c r="M37" s="34"/>
      <c r="N37" s="34"/>
      <c r="O37" s="36"/>
      <c r="P37" s="34"/>
      <c r="Q37" s="34"/>
      <c r="R37" s="34"/>
      <c r="S37" s="34"/>
      <c r="T37" s="34"/>
      <c r="U37" s="34"/>
      <c r="V37" s="34"/>
    </row>
    <row r="38" spans="1:23" x14ac:dyDescent="0.3">
      <c r="A38" s="34"/>
      <c r="B38" s="33"/>
      <c r="C38" s="34"/>
      <c r="D38" s="34"/>
      <c r="E38" s="34"/>
      <c r="F38" s="34"/>
      <c r="G38" s="81"/>
      <c r="H38" s="34"/>
      <c r="I38" s="34"/>
      <c r="J38" s="34"/>
      <c r="K38" s="34"/>
      <c r="L38" s="34"/>
      <c r="M38" s="34"/>
      <c r="N38" s="34"/>
      <c r="O38" s="36"/>
      <c r="P38" s="34"/>
      <c r="Q38" s="34"/>
      <c r="R38" s="34"/>
      <c r="S38" s="34"/>
      <c r="T38" s="34"/>
      <c r="U38" s="34"/>
      <c r="V38" s="34"/>
    </row>
    <row r="39" spans="1:23" x14ac:dyDescent="0.3">
      <c r="A39" s="34"/>
      <c r="B39" s="33"/>
      <c r="C39" s="39"/>
      <c r="D39" s="39"/>
      <c r="E39" s="39"/>
      <c r="F39" s="122"/>
      <c r="G39" s="81"/>
      <c r="H39" s="34"/>
      <c r="I39" s="34"/>
      <c r="J39" s="34"/>
      <c r="K39" s="34"/>
      <c r="L39" s="34"/>
      <c r="M39" s="34"/>
      <c r="N39" s="34"/>
      <c r="O39" s="36"/>
      <c r="P39" s="34"/>
      <c r="Q39" s="34"/>
      <c r="R39" s="34"/>
      <c r="S39" s="34"/>
      <c r="T39" s="34"/>
      <c r="U39" s="34"/>
      <c r="V39" s="34"/>
    </row>
    <row r="40" spans="1:23" x14ac:dyDescent="0.3">
      <c r="A40" s="34"/>
      <c r="B40" s="33"/>
      <c r="C40" s="373"/>
      <c r="D40" s="373"/>
      <c r="E40" s="373"/>
      <c r="F40" s="123"/>
      <c r="G40" s="81"/>
      <c r="H40" s="34"/>
      <c r="I40" s="34"/>
      <c r="J40" s="34"/>
      <c r="K40" s="34"/>
      <c r="L40" s="34"/>
      <c r="M40" s="34"/>
      <c r="N40" s="34"/>
      <c r="O40" s="36"/>
      <c r="P40" s="34"/>
      <c r="Q40" s="34"/>
      <c r="R40" s="34"/>
      <c r="S40" s="34"/>
      <c r="T40" s="34"/>
      <c r="U40" s="34"/>
      <c r="V40" s="34"/>
    </row>
    <row r="41" spans="1:23" x14ac:dyDescent="0.3">
      <c r="A41" s="34"/>
      <c r="B41" s="33"/>
      <c r="C41" s="81"/>
      <c r="D41" s="124"/>
      <c r="E41" s="124"/>
      <c r="F41" s="124"/>
      <c r="G41" s="90"/>
      <c r="H41" s="34"/>
      <c r="I41" s="34"/>
      <c r="J41" s="34"/>
      <c r="K41" s="34"/>
      <c r="L41" s="34"/>
      <c r="M41" s="34"/>
      <c r="N41" s="34"/>
      <c r="O41" s="36"/>
      <c r="P41" s="34"/>
      <c r="Q41" s="34"/>
      <c r="R41" s="34"/>
      <c r="S41" s="34"/>
      <c r="T41" s="34"/>
      <c r="U41" s="34"/>
      <c r="V41" s="34"/>
    </row>
    <row r="42" spans="1:23" ht="15" thickBot="1" x14ac:dyDescent="0.35">
      <c r="A42" s="34"/>
      <c r="B42" s="40"/>
      <c r="C42" s="41"/>
      <c r="D42" s="41"/>
      <c r="E42" s="41"/>
      <c r="F42" s="41"/>
      <c r="G42" s="58"/>
      <c r="H42" s="41"/>
      <c r="I42" s="41"/>
      <c r="J42" s="41"/>
      <c r="K42" s="41"/>
      <c r="L42" s="41"/>
      <c r="M42" s="41"/>
      <c r="N42" s="41"/>
      <c r="O42" s="43"/>
      <c r="P42" s="41"/>
      <c r="Q42" s="34"/>
      <c r="R42" s="34"/>
      <c r="S42" s="34"/>
      <c r="T42" s="34"/>
      <c r="U42" s="34"/>
      <c r="V42" s="34"/>
    </row>
  </sheetData>
  <sheetProtection algorithmName="SHA-512" hashValue="mXrO/Kr630Y83U3dlcwEGm/mBJNf/JK0/R9/kbVHkGIyacQnzzbkZ2e5wZlyNkal0I8MBzjv2I63hdVnYEgVRw==" saltValue="Zgtc0VL53TFCLIrsY4jdrA==" spinCount="100000" sheet="1" objects="1" scenarios="1"/>
  <mergeCells count="8">
    <mergeCell ref="B4:O4"/>
    <mergeCell ref="B3:O3"/>
    <mergeCell ref="C40:E40"/>
    <mergeCell ref="T18:U22"/>
    <mergeCell ref="T27:U29"/>
    <mergeCell ref="F6:F8"/>
    <mergeCell ref="H6:H8"/>
    <mergeCell ref="N7:N8"/>
  </mergeCells>
  <conditionalFormatting sqref="R10:R34">
    <cfRule type="cellIs" dxfId="27" priority="10" operator="equal">
      <formula>"incomplete"</formula>
    </cfRule>
    <cfRule type="cellIs" dxfId="26" priority="11" operator="equal">
      <formula>"complete"</formula>
    </cfRule>
  </conditionalFormatting>
  <dataValidations count="2">
    <dataValidation allowBlank="1" sqref="G41:I42 G35:I35" xr:uid="{EBC1C9A4-4723-4D17-B56E-392FE09EDFE9}"/>
    <dataValidation allowBlank="1" errorTitle="Select From List" prompt="Select from List" sqref="E41:F41" xr:uid="{6F9C75C2-7345-477B-BFA7-FF389802C0CA}"/>
  </dataValidations>
  <pageMargins left="0.7" right="0.7" top="0.75" bottom="0.75" header="0.3" footer="0.3"/>
  <pageSetup paperSize="256" orientation="portrait" horizontalDpi="203" verticalDpi="203"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96C9CE2-B631-4A39-B993-27C824BA9E64}">
          <x14:formula1>
            <xm:f>Picklists!$AF$2:$AF$3</xm:f>
          </x14:formula1>
          <xm:sqref>F10:F34</xm:sqref>
        </x14:dataValidation>
        <x14:dataValidation type="list" allowBlank="1" showInputMessage="1" showErrorMessage="1" xr:uid="{FAA6D708-EF30-4349-8814-4A68221D9579}">
          <x14:formula1>
            <xm:f>Picklists!$D$3:$D$105</xm:f>
          </x14:formula1>
          <xm:sqref>E10:E34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1DE11-CFF6-4BA5-9847-E14DA68B0157}">
  <sheetPr>
    <tabColor theme="5" tint="0.39997558519241921"/>
  </sheetPr>
  <dimension ref="A1:M35"/>
  <sheetViews>
    <sheetView workbookViewId="0">
      <selection activeCell="E3" sqref="E3"/>
    </sheetView>
  </sheetViews>
  <sheetFormatPr defaultRowHeight="14.4" x14ac:dyDescent="0.3"/>
  <cols>
    <col min="1" max="1" width="3.33203125" customWidth="1"/>
    <col min="2" max="2" width="11.5546875" hidden="1" customWidth="1"/>
    <col min="3" max="3" width="11" hidden="1" customWidth="1"/>
    <col min="4" max="4" width="8.109375" customWidth="1"/>
    <col min="6" max="6" width="37.44140625" customWidth="1"/>
    <col min="7" max="7" width="21.5546875" customWidth="1"/>
    <col min="8" max="8" width="53.88671875" customWidth="1"/>
    <col min="9" max="9" width="31.88671875" hidden="1" customWidth="1"/>
  </cols>
  <sheetData>
    <row r="1" spans="1:13" ht="15" thickBot="1" x14ac:dyDescent="0.35">
      <c r="A1" s="34"/>
      <c r="B1" s="34"/>
      <c r="C1" s="34"/>
      <c r="D1" s="34"/>
      <c r="E1" s="34"/>
      <c r="F1" s="34"/>
      <c r="G1" s="34"/>
      <c r="H1" s="34"/>
      <c r="I1" s="34"/>
      <c r="J1" s="34"/>
      <c r="K1" s="34"/>
      <c r="L1" s="34"/>
      <c r="M1" s="34"/>
    </row>
    <row r="2" spans="1:13" ht="15" thickBot="1" x14ac:dyDescent="0.35">
      <c r="A2" s="34"/>
      <c r="B2" s="75"/>
      <c r="C2" s="75"/>
      <c r="D2" s="293" t="s">
        <v>0</v>
      </c>
      <c r="E2" s="294" t="str">
        <f>'3 New Application'!C2</f>
        <v>NRW SRoC v2 2024-25</v>
      </c>
      <c r="F2" s="294"/>
      <c r="G2" s="295"/>
      <c r="H2" s="34"/>
      <c r="I2" s="34"/>
      <c r="J2" s="34"/>
      <c r="K2" s="34"/>
      <c r="L2" s="34"/>
      <c r="M2" s="34"/>
    </row>
    <row r="3" spans="1:13" ht="15" thickBot="1" x14ac:dyDescent="0.35">
      <c r="A3" s="34"/>
      <c r="B3" s="75"/>
      <c r="C3" s="75"/>
      <c r="D3" s="81"/>
      <c r="E3" s="303"/>
      <c r="F3" s="303"/>
      <c r="G3" s="304"/>
      <c r="H3" s="34"/>
      <c r="I3" s="34"/>
      <c r="J3" s="34"/>
      <c r="K3" s="34"/>
      <c r="L3" s="34"/>
      <c r="M3" s="34"/>
    </row>
    <row r="4" spans="1:13" ht="21.9" customHeight="1" thickBot="1" x14ac:dyDescent="0.35">
      <c r="A4" s="34"/>
      <c r="B4" s="76"/>
      <c r="C4" s="75"/>
      <c r="D4" s="367" t="s">
        <v>109</v>
      </c>
      <c r="E4" s="368"/>
      <c r="F4" s="368"/>
      <c r="G4" s="368"/>
      <c r="H4" s="368"/>
      <c r="I4" s="368"/>
      <c r="J4" s="369"/>
      <c r="K4" s="34"/>
      <c r="L4" s="34"/>
      <c r="M4" s="34"/>
    </row>
    <row r="5" spans="1:13" x14ac:dyDescent="0.3">
      <c r="A5" s="34"/>
      <c r="B5" s="75"/>
      <c r="C5" s="75"/>
      <c r="D5" s="33"/>
      <c r="E5" s="81"/>
      <c r="F5" s="90"/>
      <c r="G5" s="380"/>
      <c r="H5" s="380"/>
      <c r="I5" s="34"/>
      <c r="J5" s="36"/>
      <c r="K5" s="34"/>
      <c r="L5" s="34"/>
      <c r="M5" s="34"/>
    </row>
    <row r="6" spans="1:13" x14ac:dyDescent="0.3">
      <c r="A6" s="34"/>
      <c r="B6" s="75"/>
      <c r="C6" s="75"/>
      <c r="D6" s="33"/>
      <c r="E6" s="381" t="s">
        <v>110</v>
      </c>
      <c r="F6" s="381"/>
      <c r="G6" s="382">
        <f>+Introduction!E9</f>
        <v>0</v>
      </c>
      <c r="H6" s="382"/>
      <c r="I6" s="375"/>
      <c r="J6" s="36"/>
      <c r="K6" s="34"/>
      <c r="L6" s="34"/>
      <c r="M6" s="34"/>
    </row>
    <row r="7" spans="1:13" x14ac:dyDescent="0.3">
      <c r="A7" s="34"/>
      <c r="B7" s="75"/>
      <c r="C7" s="75"/>
      <c r="D7" s="33"/>
      <c r="E7" s="381" t="s">
        <v>95</v>
      </c>
      <c r="F7" s="381"/>
      <c r="G7" s="382">
        <f>+Introduction!L9</f>
        <v>0</v>
      </c>
      <c r="H7" s="382"/>
      <c r="I7" s="375"/>
      <c r="J7" s="36"/>
      <c r="K7" s="34"/>
      <c r="L7" s="34"/>
      <c r="M7" s="34"/>
    </row>
    <row r="8" spans="1:13" x14ac:dyDescent="0.3">
      <c r="A8" s="34"/>
      <c r="B8" s="75"/>
      <c r="C8" s="75"/>
      <c r="D8" s="33"/>
      <c r="E8" s="81"/>
      <c r="F8" s="81"/>
      <c r="G8" s="61"/>
      <c r="H8" s="34"/>
      <c r="I8" s="375"/>
      <c r="J8" s="36"/>
      <c r="K8" s="34"/>
      <c r="L8" s="34"/>
      <c r="M8" s="34"/>
    </row>
    <row r="9" spans="1:13" ht="15" thickBot="1" x14ac:dyDescent="0.35">
      <c r="A9" s="34"/>
      <c r="B9" s="75"/>
      <c r="C9" s="75"/>
      <c r="D9" s="33"/>
      <c r="E9" s="81"/>
      <c r="F9" s="81"/>
      <c r="G9" s="61"/>
      <c r="H9" s="61"/>
      <c r="I9" s="61"/>
      <c r="J9" s="36"/>
      <c r="K9" s="34"/>
      <c r="L9" s="34"/>
      <c r="M9" s="34"/>
    </row>
    <row r="10" spans="1:13" ht="55.5" customHeight="1" thickBot="1" x14ac:dyDescent="0.35">
      <c r="A10" s="34"/>
      <c r="B10" s="75"/>
      <c r="C10" s="75"/>
      <c r="D10" s="33"/>
      <c r="E10" s="383" t="s">
        <v>111</v>
      </c>
      <c r="F10" s="384"/>
      <c r="G10" s="384"/>
      <c r="H10" s="385"/>
      <c r="I10" s="213"/>
      <c r="J10" s="36"/>
      <c r="K10" s="34"/>
      <c r="L10" s="34"/>
      <c r="M10" s="34"/>
    </row>
    <row r="11" spans="1:13" ht="51" customHeight="1" x14ac:dyDescent="0.3">
      <c r="A11" s="34"/>
      <c r="B11" s="77" t="s">
        <v>112</v>
      </c>
      <c r="C11" s="77" t="s">
        <v>113</v>
      </c>
      <c r="D11" s="69"/>
      <c r="E11" s="219"/>
      <c r="F11" s="71" t="s">
        <v>114</v>
      </c>
      <c r="G11" s="71" t="s">
        <v>115</v>
      </c>
      <c r="H11" s="217" t="s">
        <v>116</v>
      </c>
      <c r="I11" s="214" t="s">
        <v>117</v>
      </c>
      <c r="J11" s="36"/>
      <c r="K11" s="34"/>
      <c r="L11" s="34"/>
      <c r="M11" s="34"/>
    </row>
    <row r="12" spans="1:13" ht="19.5" hidden="1" customHeight="1" x14ac:dyDescent="0.3">
      <c r="A12" s="34"/>
      <c r="B12" s="77"/>
      <c r="C12" s="77"/>
      <c r="D12" s="69"/>
      <c r="E12" s="220"/>
      <c r="F12" s="72" t="str">
        <f>IF(OR(B13="incomplete",B14="incomplete",B15="incomplete",B16="incomplete",B17="incomplete",B18="incomplete",B19="incomplete",B20="incomplete",B21="incomplete",B22="incomplete",B23="incomplete",B24="incomplete",B25="incomplete",B26="incomplete",B27="incomplete",B28="incomplete",B29="incomplete",B30="incomplete",B31="incomplete",B32="incomplete"),"incomplete","complete")</f>
        <v>complete</v>
      </c>
      <c r="G12" s="70"/>
      <c r="H12" s="218" t="str">
        <f>IF(OR(C13="incomplete",C14="incomplete",C15="incomplete",C16="incomplete",C17="incomplete",C18="incomplete",C19="incomplete",C20="incomplete",C21="incomplete",C22="incomplete",C23="incomplete",C24="incomplete",C25="incomplete",C26="incomplete",C27="incomplete",C28="incomplete",C29="incomplete",C30="incomplete",C31="incomplete",C32="incomplete"),"incomplete","complete")</f>
        <v>complete</v>
      </c>
      <c r="I12" s="215"/>
      <c r="J12" s="36"/>
      <c r="K12" s="34"/>
      <c r="L12" s="34"/>
      <c r="M12" s="34"/>
    </row>
    <row r="13" spans="1:13" ht="15.6" x14ac:dyDescent="0.3">
      <c r="A13" s="34"/>
      <c r="B13" s="78" t="str">
        <f>IF(AND(F13="",G13&gt;0),"incomplete","")</f>
        <v/>
      </c>
      <c r="C13" s="78" t="str">
        <f>IF(AND(H13="",G13&gt;0),"incomplete","")</f>
        <v/>
      </c>
      <c r="D13" s="73"/>
      <c r="E13" s="220">
        <v>1</v>
      </c>
      <c r="F13" s="222"/>
      <c r="G13" s="129"/>
      <c r="H13" s="221"/>
      <c r="I13" s="216" t="str">
        <f>IF(G13="MCP","see MCP/SG guidance link on complex and simple applications",IF(G13="SG","see MCP/SG guidance link on complex and simple applications",IF(G13="PartB_MCP_and_or_SG","see MCP/SG guidance link on complex and simple applications",IF(G13="MCP_and_SG","see MCP/SG guidance link on complex and simple applications",""))))</f>
        <v/>
      </c>
      <c r="J13" s="59"/>
      <c r="K13" s="34"/>
      <c r="L13" s="34"/>
      <c r="M13" s="34"/>
    </row>
    <row r="14" spans="1:13" ht="15.6" x14ac:dyDescent="0.3">
      <c r="A14" s="34"/>
      <c r="B14" s="78" t="str">
        <f>IF(AND(F14="",G14&gt;0),"incomplete","")</f>
        <v/>
      </c>
      <c r="C14" s="78" t="str">
        <f t="shared" ref="C14:C32" si="0">IF(AND(H14="",G14&gt;0),"incomplete","")</f>
        <v/>
      </c>
      <c r="D14" s="73"/>
      <c r="E14" s="220">
        <v>2</v>
      </c>
      <c r="F14" s="223"/>
      <c r="G14" s="129"/>
      <c r="H14" s="221"/>
      <c r="I14" s="216" t="str">
        <f t="shared" ref="I14:I32" si="1">IF(G14="MCP","see MCP/SG guidance link on complex and simple applications",IF(G14="SG","see MCP/SG guidance link on complex and simple applications",IF(G14="PartB_MCP_and_or_SG","see MCP/SG guidance link on complex and simple applications",IF(G14="MCP_and_SG","see MCP/SG guidance link on complex and simple applications",""))))</f>
        <v/>
      </c>
      <c r="J14" s="59"/>
      <c r="K14" s="34"/>
      <c r="L14" s="34"/>
      <c r="M14" s="34"/>
    </row>
    <row r="15" spans="1:13" ht="15.6" x14ac:dyDescent="0.3">
      <c r="A15" s="34"/>
      <c r="B15" s="78" t="str">
        <f t="shared" ref="B15:B32" si="2">IF(AND(F15="",G15&gt;0),"incomplete","")</f>
        <v/>
      </c>
      <c r="C15" s="78" t="str">
        <f t="shared" si="0"/>
        <v/>
      </c>
      <c r="D15" s="73"/>
      <c r="E15" s="220">
        <v>3</v>
      </c>
      <c r="F15" s="222"/>
      <c r="G15" s="129"/>
      <c r="H15" s="221"/>
      <c r="I15" s="216" t="str">
        <f>IF(G15="MCP","see MCP/SG guidance J14 on complex and simple applications",IF(G15="SG","see MCP/SG guidance link on complex and simple applications",IF(G15="PartB_MCP_and_or_SG","see MCP/SG guidance link on complex and simple applications",IF(G15="MCP_and_SG","see MCP/SG guidance link on complex and simple applications",""))))</f>
        <v/>
      </c>
      <c r="J15" s="59"/>
      <c r="K15" s="34"/>
      <c r="L15" s="34"/>
      <c r="M15" s="34"/>
    </row>
    <row r="16" spans="1:13" ht="15.6" x14ac:dyDescent="0.3">
      <c r="A16" s="34"/>
      <c r="B16" s="78" t="str">
        <f t="shared" si="2"/>
        <v/>
      </c>
      <c r="C16" s="78" t="str">
        <f t="shared" si="0"/>
        <v/>
      </c>
      <c r="D16" s="73"/>
      <c r="E16" s="220">
        <v>4</v>
      </c>
      <c r="F16" s="222"/>
      <c r="G16" s="129"/>
      <c r="H16" s="221"/>
      <c r="I16" s="216" t="str">
        <f t="shared" si="1"/>
        <v/>
      </c>
      <c r="J16" s="59"/>
      <c r="K16" s="34"/>
      <c r="L16" s="34"/>
      <c r="M16" s="34"/>
    </row>
    <row r="17" spans="1:13" ht="15.6" x14ac:dyDescent="0.3">
      <c r="A17" s="34"/>
      <c r="B17" s="78" t="str">
        <f t="shared" si="2"/>
        <v/>
      </c>
      <c r="C17" s="78" t="str">
        <f t="shared" si="0"/>
        <v/>
      </c>
      <c r="D17" s="73"/>
      <c r="E17" s="220">
        <v>5</v>
      </c>
      <c r="F17" s="222"/>
      <c r="G17" s="129"/>
      <c r="H17" s="221"/>
      <c r="I17" s="216" t="str">
        <f t="shared" si="1"/>
        <v/>
      </c>
      <c r="J17" s="59"/>
      <c r="K17" s="34"/>
      <c r="L17" s="34"/>
      <c r="M17" s="34"/>
    </row>
    <row r="18" spans="1:13" ht="15.6" x14ac:dyDescent="0.3">
      <c r="A18" s="34"/>
      <c r="B18" s="78" t="str">
        <f t="shared" si="2"/>
        <v/>
      </c>
      <c r="C18" s="78" t="str">
        <f t="shared" si="0"/>
        <v/>
      </c>
      <c r="D18" s="73"/>
      <c r="E18" s="220">
        <v>6</v>
      </c>
      <c r="F18" s="222"/>
      <c r="G18" s="129"/>
      <c r="H18" s="221"/>
      <c r="I18" s="216" t="str">
        <f t="shared" si="1"/>
        <v/>
      </c>
      <c r="J18" s="59"/>
      <c r="K18" s="34"/>
      <c r="L18" s="34"/>
      <c r="M18" s="34"/>
    </row>
    <row r="19" spans="1:13" ht="15.6" x14ac:dyDescent="0.3">
      <c r="A19" s="34"/>
      <c r="B19" s="78" t="str">
        <f t="shared" si="2"/>
        <v/>
      </c>
      <c r="C19" s="78" t="str">
        <f t="shared" si="0"/>
        <v/>
      </c>
      <c r="D19" s="73"/>
      <c r="E19" s="220">
        <v>7</v>
      </c>
      <c r="F19" s="222"/>
      <c r="G19" s="129"/>
      <c r="H19" s="221"/>
      <c r="I19" s="216" t="str">
        <f t="shared" si="1"/>
        <v/>
      </c>
      <c r="J19" s="59"/>
      <c r="K19" s="34"/>
      <c r="L19" s="34"/>
      <c r="M19" s="34"/>
    </row>
    <row r="20" spans="1:13" ht="15.6" x14ac:dyDescent="0.3">
      <c r="A20" s="34"/>
      <c r="B20" s="78" t="str">
        <f t="shared" si="2"/>
        <v/>
      </c>
      <c r="C20" s="78" t="str">
        <f t="shared" si="0"/>
        <v/>
      </c>
      <c r="D20" s="73"/>
      <c r="E20" s="220">
        <v>8</v>
      </c>
      <c r="F20" s="222"/>
      <c r="G20" s="129"/>
      <c r="H20" s="221"/>
      <c r="I20" s="216" t="str">
        <f t="shared" si="1"/>
        <v/>
      </c>
      <c r="J20" s="59"/>
      <c r="K20" s="34"/>
      <c r="L20" s="34"/>
      <c r="M20" s="34"/>
    </row>
    <row r="21" spans="1:13" ht="15.6" x14ac:dyDescent="0.3">
      <c r="A21" s="34"/>
      <c r="B21" s="78" t="str">
        <f>IF(AND(F21="",G21&gt;0),"incomplete","")</f>
        <v/>
      </c>
      <c r="C21" s="78" t="str">
        <f t="shared" si="0"/>
        <v/>
      </c>
      <c r="D21" s="73"/>
      <c r="E21" s="220">
        <v>9</v>
      </c>
      <c r="F21" s="222"/>
      <c r="G21" s="129"/>
      <c r="H21" s="221"/>
      <c r="I21" s="216" t="str">
        <f t="shared" si="1"/>
        <v/>
      </c>
      <c r="J21" s="59"/>
      <c r="K21" s="34"/>
      <c r="L21" s="34"/>
      <c r="M21" s="34"/>
    </row>
    <row r="22" spans="1:13" ht="15.6" x14ac:dyDescent="0.3">
      <c r="A22" s="34"/>
      <c r="B22" s="78" t="str">
        <f t="shared" si="2"/>
        <v/>
      </c>
      <c r="C22" s="78" t="str">
        <f t="shared" si="0"/>
        <v/>
      </c>
      <c r="D22" s="73"/>
      <c r="E22" s="220">
        <v>10</v>
      </c>
      <c r="F22" s="222"/>
      <c r="G22" s="129"/>
      <c r="H22" s="221"/>
      <c r="I22" s="216" t="str">
        <f t="shared" si="1"/>
        <v/>
      </c>
      <c r="J22" s="59"/>
      <c r="K22" s="34"/>
      <c r="L22" s="34"/>
      <c r="M22" s="34"/>
    </row>
    <row r="23" spans="1:13" ht="15.6" x14ac:dyDescent="0.3">
      <c r="A23" s="34"/>
      <c r="B23" s="78" t="str">
        <f t="shared" si="2"/>
        <v/>
      </c>
      <c r="C23" s="78" t="str">
        <f t="shared" si="0"/>
        <v/>
      </c>
      <c r="D23" s="73"/>
      <c r="E23" s="220">
        <v>11</v>
      </c>
      <c r="F23" s="222"/>
      <c r="G23" s="129"/>
      <c r="H23" s="221"/>
      <c r="I23" s="216" t="str">
        <f t="shared" si="1"/>
        <v/>
      </c>
      <c r="J23" s="59"/>
      <c r="K23" s="34"/>
      <c r="L23" s="34"/>
      <c r="M23" s="34"/>
    </row>
    <row r="24" spans="1:13" ht="15.6" x14ac:dyDescent="0.3">
      <c r="A24" s="34"/>
      <c r="B24" s="78" t="str">
        <f t="shared" si="2"/>
        <v/>
      </c>
      <c r="C24" s="78" t="str">
        <f t="shared" si="0"/>
        <v/>
      </c>
      <c r="D24" s="73"/>
      <c r="E24" s="220">
        <v>12</v>
      </c>
      <c r="F24" s="222"/>
      <c r="G24" s="129"/>
      <c r="H24" s="221"/>
      <c r="I24" s="216" t="str">
        <f t="shared" si="1"/>
        <v/>
      </c>
      <c r="J24" s="59"/>
      <c r="K24" s="34"/>
      <c r="L24" s="34"/>
      <c r="M24" s="34"/>
    </row>
    <row r="25" spans="1:13" ht="15.6" x14ac:dyDescent="0.3">
      <c r="A25" s="34"/>
      <c r="B25" s="78" t="str">
        <f t="shared" si="2"/>
        <v/>
      </c>
      <c r="C25" s="78" t="str">
        <f t="shared" si="0"/>
        <v/>
      </c>
      <c r="D25" s="73"/>
      <c r="E25" s="220">
        <v>13</v>
      </c>
      <c r="F25" s="222"/>
      <c r="G25" s="129"/>
      <c r="H25" s="221"/>
      <c r="I25" s="216" t="str">
        <f t="shared" si="1"/>
        <v/>
      </c>
      <c r="J25" s="59"/>
      <c r="K25" s="34"/>
      <c r="L25" s="34"/>
      <c r="M25" s="34"/>
    </row>
    <row r="26" spans="1:13" ht="15.6" x14ac:dyDescent="0.3">
      <c r="A26" s="34"/>
      <c r="B26" s="78" t="str">
        <f t="shared" si="2"/>
        <v/>
      </c>
      <c r="C26" s="78" t="str">
        <f t="shared" si="0"/>
        <v/>
      </c>
      <c r="D26" s="73"/>
      <c r="E26" s="220">
        <v>14</v>
      </c>
      <c r="F26" s="222"/>
      <c r="G26" s="129"/>
      <c r="H26" s="221"/>
      <c r="I26" s="216" t="str">
        <f t="shared" si="1"/>
        <v/>
      </c>
      <c r="J26" s="59"/>
      <c r="K26" s="34"/>
      <c r="L26" s="34"/>
      <c r="M26" s="34"/>
    </row>
    <row r="27" spans="1:13" ht="15.6" x14ac:dyDescent="0.3">
      <c r="A27" s="34"/>
      <c r="B27" s="78" t="str">
        <f t="shared" si="2"/>
        <v/>
      </c>
      <c r="C27" s="78" t="str">
        <f t="shared" si="0"/>
        <v/>
      </c>
      <c r="D27" s="73"/>
      <c r="E27" s="220">
        <v>15</v>
      </c>
      <c r="F27" s="222"/>
      <c r="G27" s="129"/>
      <c r="H27" s="221"/>
      <c r="I27" s="216" t="str">
        <f t="shared" si="1"/>
        <v/>
      </c>
      <c r="J27" s="59"/>
      <c r="K27" s="34"/>
      <c r="L27" s="34"/>
      <c r="M27" s="34"/>
    </row>
    <row r="28" spans="1:13" ht="15.6" x14ac:dyDescent="0.3">
      <c r="A28" s="34"/>
      <c r="B28" s="78" t="str">
        <f t="shared" si="2"/>
        <v/>
      </c>
      <c r="C28" s="78" t="str">
        <f t="shared" si="0"/>
        <v/>
      </c>
      <c r="D28" s="73"/>
      <c r="E28" s="220">
        <v>16</v>
      </c>
      <c r="F28" s="222"/>
      <c r="G28" s="129"/>
      <c r="H28" s="221"/>
      <c r="I28" s="216" t="str">
        <f t="shared" si="1"/>
        <v/>
      </c>
      <c r="J28" s="59"/>
      <c r="K28" s="34"/>
      <c r="L28" s="34"/>
      <c r="M28" s="34"/>
    </row>
    <row r="29" spans="1:13" ht="15.6" x14ac:dyDescent="0.3">
      <c r="A29" s="34"/>
      <c r="B29" s="78" t="str">
        <f t="shared" si="2"/>
        <v/>
      </c>
      <c r="C29" s="78" t="str">
        <f t="shared" si="0"/>
        <v/>
      </c>
      <c r="D29" s="73"/>
      <c r="E29" s="220">
        <v>17</v>
      </c>
      <c r="F29" s="222"/>
      <c r="G29" s="129"/>
      <c r="H29" s="221"/>
      <c r="I29" s="216" t="str">
        <f t="shared" si="1"/>
        <v/>
      </c>
      <c r="J29" s="59"/>
      <c r="K29" s="34"/>
      <c r="L29" s="34"/>
      <c r="M29" s="34"/>
    </row>
    <row r="30" spans="1:13" ht="15.6" x14ac:dyDescent="0.3">
      <c r="A30" s="34"/>
      <c r="B30" s="78" t="str">
        <f t="shared" si="2"/>
        <v/>
      </c>
      <c r="C30" s="78" t="str">
        <f t="shared" si="0"/>
        <v/>
      </c>
      <c r="D30" s="73"/>
      <c r="E30" s="220">
        <v>18</v>
      </c>
      <c r="F30" s="222"/>
      <c r="G30" s="129"/>
      <c r="H30" s="221"/>
      <c r="I30" s="216" t="str">
        <f t="shared" si="1"/>
        <v/>
      </c>
      <c r="J30" s="59"/>
      <c r="K30" s="34"/>
      <c r="L30" s="34"/>
      <c r="M30" s="34"/>
    </row>
    <row r="31" spans="1:13" ht="15.6" x14ac:dyDescent="0.3">
      <c r="A31" s="34"/>
      <c r="B31" s="78" t="str">
        <f t="shared" si="2"/>
        <v/>
      </c>
      <c r="C31" s="78" t="str">
        <f t="shared" si="0"/>
        <v/>
      </c>
      <c r="D31" s="73"/>
      <c r="E31" s="220">
        <v>19</v>
      </c>
      <c r="F31" s="222"/>
      <c r="G31" s="129"/>
      <c r="H31" s="221"/>
      <c r="I31" s="216" t="str">
        <f t="shared" si="1"/>
        <v/>
      </c>
      <c r="J31" s="59"/>
      <c r="K31" s="34"/>
      <c r="L31" s="34"/>
      <c r="M31" s="34"/>
    </row>
    <row r="32" spans="1:13" ht="15.6" x14ac:dyDescent="0.3">
      <c r="A32" s="34"/>
      <c r="B32" s="78" t="str">
        <f t="shared" si="2"/>
        <v/>
      </c>
      <c r="C32" s="78" t="str">
        <f t="shared" si="0"/>
        <v/>
      </c>
      <c r="D32" s="73"/>
      <c r="E32" s="220">
        <v>20</v>
      </c>
      <c r="F32" s="222"/>
      <c r="G32" s="129"/>
      <c r="H32" s="221"/>
      <c r="I32" s="216" t="str">
        <f t="shared" si="1"/>
        <v/>
      </c>
      <c r="J32" s="59"/>
      <c r="K32" s="34"/>
      <c r="L32" s="34"/>
      <c r="M32" s="34"/>
    </row>
    <row r="33" spans="1:13" x14ac:dyDescent="0.3">
      <c r="A33" s="34"/>
      <c r="B33" s="75"/>
      <c r="C33" s="75"/>
      <c r="D33" s="33"/>
      <c r="E33" s="81"/>
      <c r="F33" s="62"/>
      <c r="G33" s="62"/>
      <c r="H33" s="34"/>
      <c r="I33" s="63"/>
      <c r="J33" s="59"/>
      <c r="K33" s="34"/>
      <c r="L33" s="34"/>
      <c r="M33" s="34"/>
    </row>
    <row r="34" spans="1:13" x14ac:dyDescent="0.3">
      <c r="A34" s="34"/>
      <c r="B34" s="75"/>
      <c r="C34" s="75"/>
      <c r="D34" s="33"/>
      <c r="E34" s="81"/>
      <c r="F34" s="353"/>
      <c r="G34" s="353"/>
      <c r="H34" s="34"/>
      <c r="I34" s="63"/>
      <c r="J34" s="59"/>
      <c r="K34" s="34"/>
      <c r="L34" s="34"/>
      <c r="M34" s="34"/>
    </row>
    <row r="35" spans="1:13" ht="15" thickBot="1" x14ac:dyDescent="0.35">
      <c r="A35" s="34"/>
      <c r="B35" s="75"/>
      <c r="C35" s="79"/>
      <c r="D35" s="40"/>
      <c r="E35" s="60"/>
      <c r="F35" s="58"/>
      <c r="G35" s="41"/>
      <c r="H35" s="41"/>
      <c r="I35" s="41"/>
      <c r="J35" s="43"/>
      <c r="K35" s="34"/>
      <c r="L35" s="34"/>
      <c r="M35" s="34"/>
    </row>
  </sheetData>
  <sheetProtection algorithmName="SHA-512" hashValue="xE3pkBF07YUZJEJIrKjnMu3WFkbf9p2DG78dYbWd2V4GEM+iHDSF/ApPec800cxZw0NkJk9ElrN7+TXOCdcMvw==" saltValue="yZylo+DItGqCTkw6OL/acA==" spinCount="100000" sheet="1" objects="1" scenarios="1"/>
  <mergeCells count="9">
    <mergeCell ref="D4:J4"/>
    <mergeCell ref="F34:G34"/>
    <mergeCell ref="G5:H5"/>
    <mergeCell ref="E6:F6"/>
    <mergeCell ref="G6:H6"/>
    <mergeCell ref="I6:I8"/>
    <mergeCell ref="E7:F7"/>
    <mergeCell ref="G7:H7"/>
    <mergeCell ref="E10:H10"/>
  </mergeCells>
  <phoneticPr fontId="16" type="noConversion"/>
  <conditionalFormatting sqref="I13:I32">
    <cfRule type="notContainsBlanks" dxfId="25" priority="2">
      <formula>LEN(TRIM(I13))&gt;0</formula>
    </cfRule>
  </conditionalFormatting>
  <dataValidations count="4">
    <dataValidation allowBlank="1" sqref="I35" xr:uid="{0CFF239F-ECE4-41E7-B6AB-6E159C072809}"/>
    <dataValidation allowBlank="1" errorTitle="Select From List" prompt="Select from List" sqref="G33:H34 I13:I34" xr:uid="{D0CA53DC-5E8B-408C-9CCB-B55E3E136D4E}"/>
    <dataValidation type="list" allowBlank="1" errorTitle="Select From List" prompt="Select from List" sqref="H13:H32" xr:uid="{5EEB976A-8913-451C-8C93-D9A2658DBFC7}">
      <formula1>INDIRECT(G13)</formula1>
    </dataValidation>
    <dataValidation type="list" allowBlank="1" errorTitle="Select From List" prompt="Select from List" sqref="G13:G32" xr:uid="{70A935D3-87B5-4C5E-98F6-06D2BF79B9CA}">
      <formula1>category</formula1>
    </dataValidation>
  </dataValidations>
  <pageMargins left="0.7" right="0.7" top="0.75" bottom="0.75" header="0.3" footer="0.3"/>
  <pageSetup paperSize="256" orientation="portrait" horizontalDpi="203" verticalDpi="20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86494-496C-4F9F-9385-C547C459841D}">
  <sheetPr>
    <tabColor theme="5" tint="0.39997558519241921"/>
  </sheetPr>
  <dimension ref="A1:AB70"/>
  <sheetViews>
    <sheetView tabSelected="1" zoomScaleNormal="100" workbookViewId="0">
      <selection activeCell="N32" sqref="N32"/>
    </sheetView>
  </sheetViews>
  <sheetFormatPr defaultRowHeight="14.4" x14ac:dyDescent="0.3"/>
  <cols>
    <col min="1" max="3" width="14.6640625" customWidth="1"/>
    <col min="4" max="4" width="5.88671875" customWidth="1"/>
    <col min="5" max="5" width="64.33203125" customWidth="1"/>
    <col min="6" max="6" width="11.6640625" customWidth="1"/>
    <col min="7" max="7" width="21.5546875" hidden="1" customWidth="1"/>
    <col min="8" max="8" width="15.6640625" hidden="1" customWidth="1"/>
    <col min="9" max="9" width="14" customWidth="1"/>
    <col min="10" max="10" width="10.6640625" customWidth="1"/>
    <col min="11" max="11" width="9.109375" hidden="1" customWidth="1"/>
    <col min="12" max="12" width="3.88671875" customWidth="1"/>
    <col min="13" max="13" width="11.88671875" customWidth="1"/>
    <col min="14" max="14" width="12.44140625" customWidth="1"/>
    <col min="18" max="19" width="9.109375" hidden="1" customWidth="1"/>
  </cols>
  <sheetData>
    <row r="1" spans="1:21" ht="18.600000000000001" thickBot="1" x14ac:dyDescent="0.4">
      <c r="A1" s="34"/>
      <c r="B1" s="34"/>
      <c r="C1" s="89"/>
      <c r="D1" s="89"/>
      <c r="E1" s="41"/>
      <c r="F1" s="41"/>
      <c r="G1" s="88"/>
      <c r="H1" s="88"/>
      <c r="I1" s="41"/>
      <c r="J1" s="34"/>
      <c r="K1" s="67"/>
      <c r="L1" s="34"/>
      <c r="M1" s="34"/>
      <c r="N1" s="34"/>
      <c r="O1" s="34"/>
      <c r="P1" s="34"/>
      <c r="Q1" s="34"/>
      <c r="R1" s="67"/>
      <c r="S1" s="68"/>
      <c r="T1" s="34"/>
      <c r="U1" s="34"/>
    </row>
    <row r="2" spans="1:21" ht="15" thickBot="1" x14ac:dyDescent="0.35">
      <c r="A2" s="34"/>
      <c r="B2" s="293" t="s">
        <v>0</v>
      </c>
      <c r="C2" s="294" t="s">
        <v>118</v>
      </c>
      <c r="D2" s="294"/>
      <c r="E2" s="295"/>
      <c r="F2" s="34"/>
      <c r="G2" s="34"/>
      <c r="H2" s="34"/>
      <c r="I2" s="34"/>
      <c r="J2" s="31"/>
      <c r="K2" s="133"/>
      <c r="L2" s="31"/>
      <c r="M2" s="31"/>
      <c r="N2" s="31"/>
      <c r="O2" s="31"/>
      <c r="P2" s="31"/>
      <c r="Q2" s="31"/>
      <c r="R2" s="133"/>
      <c r="S2" s="134"/>
      <c r="T2" s="35"/>
      <c r="U2" s="34"/>
    </row>
    <row r="3" spans="1:21" ht="15" thickBot="1" x14ac:dyDescent="0.35">
      <c r="A3" s="34"/>
      <c r="B3" s="305"/>
      <c r="C3" s="294"/>
      <c r="D3" s="294"/>
      <c r="E3" s="306"/>
      <c r="F3" s="34"/>
      <c r="G3" s="34"/>
      <c r="H3" s="34"/>
      <c r="I3" s="34"/>
      <c r="J3" s="34"/>
      <c r="K3" s="67"/>
      <c r="L3" s="34"/>
      <c r="M3" s="34"/>
      <c r="N3" s="34"/>
      <c r="O3" s="34"/>
      <c r="P3" s="34"/>
      <c r="Q3" s="34"/>
      <c r="R3" s="67"/>
      <c r="S3" s="68"/>
      <c r="T3" s="36"/>
      <c r="U3" s="34"/>
    </row>
    <row r="4" spans="1:21" ht="26.1" customHeight="1" thickBot="1" x14ac:dyDescent="0.35">
      <c r="A4" s="34"/>
      <c r="B4" s="33"/>
      <c r="C4" s="400" t="s">
        <v>119</v>
      </c>
      <c r="D4" s="401"/>
      <c r="E4" s="401"/>
      <c r="F4" s="401"/>
      <c r="G4" s="401"/>
      <c r="H4" s="401"/>
      <c r="I4" s="402"/>
      <c r="J4" s="34"/>
      <c r="K4" s="67"/>
      <c r="L4" s="34"/>
      <c r="M4" s="34"/>
      <c r="N4" s="34"/>
      <c r="O4" s="34"/>
      <c r="P4" s="34"/>
      <c r="Q4" s="34"/>
      <c r="R4" s="67"/>
      <c r="S4" s="68"/>
      <c r="T4" s="36"/>
      <c r="U4" s="34"/>
    </row>
    <row r="5" spans="1:21" ht="18" x14ac:dyDescent="0.35">
      <c r="A5" s="34"/>
      <c r="B5" s="33"/>
      <c r="C5" s="135"/>
      <c r="D5" s="135"/>
      <c r="E5" s="135"/>
      <c r="F5" s="135"/>
      <c r="G5" s="135"/>
      <c r="H5" s="135"/>
      <c r="I5" s="135"/>
      <c r="J5" s="34"/>
      <c r="K5" s="67"/>
      <c r="L5" s="34"/>
      <c r="M5" s="34"/>
      <c r="N5" s="34"/>
      <c r="O5" s="34"/>
      <c r="P5" s="34"/>
      <c r="Q5" s="34"/>
      <c r="R5" s="67"/>
      <c r="S5" s="68"/>
      <c r="T5" s="36"/>
      <c r="U5" s="34"/>
    </row>
    <row r="6" spans="1:21" ht="18" x14ac:dyDescent="0.35">
      <c r="A6" s="34"/>
      <c r="B6" s="33"/>
      <c r="C6" s="381" t="s">
        <v>110</v>
      </c>
      <c r="D6" s="381"/>
      <c r="E6" s="382">
        <f>+Introduction!E9</f>
        <v>0</v>
      </c>
      <c r="F6" s="382"/>
      <c r="G6" s="135"/>
      <c r="H6" s="135"/>
      <c r="I6" s="135"/>
      <c r="J6" s="34"/>
      <c r="K6" s="67"/>
      <c r="L6" s="34"/>
      <c r="M6" s="34"/>
      <c r="N6" s="34"/>
      <c r="O6" s="34"/>
      <c r="P6" s="34"/>
      <c r="Q6" s="34"/>
      <c r="R6" s="67"/>
      <c r="S6" s="68"/>
      <c r="T6" s="36"/>
      <c r="U6" s="34"/>
    </row>
    <row r="7" spans="1:21" ht="18" x14ac:dyDescent="0.35">
      <c r="A7" s="34"/>
      <c r="B7" s="33"/>
      <c r="C7" s="381" t="s">
        <v>95</v>
      </c>
      <c r="D7" s="381"/>
      <c r="E7" s="382">
        <f>+Introduction!L9</f>
        <v>0</v>
      </c>
      <c r="F7" s="382"/>
      <c r="G7" s="135"/>
      <c r="H7" s="135"/>
      <c r="I7" s="135"/>
      <c r="J7" s="34"/>
      <c r="K7" s="67"/>
      <c r="L7" s="34"/>
      <c r="M7" s="34"/>
      <c r="N7" s="34"/>
      <c r="O7" s="34"/>
      <c r="P7" s="34"/>
      <c r="Q7" s="34"/>
      <c r="R7" s="386" t="s">
        <v>120</v>
      </c>
      <c r="S7" s="68"/>
      <c r="T7" s="36"/>
      <c r="U7" s="34"/>
    </row>
    <row r="8" spans="1:21" ht="21.75" customHeight="1" x14ac:dyDescent="0.35">
      <c r="A8" s="34"/>
      <c r="B8" s="33"/>
      <c r="C8" s="417"/>
      <c r="D8" s="417"/>
      <c r="E8" s="417"/>
      <c r="F8" s="34"/>
      <c r="G8" s="67"/>
      <c r="H8" s="67"/>
      <c r="I8" s="34"/>
      <c r="J8" s="34"/>
      <c r="K8" s="67"/>
      <c r="L8" s="34"/>
      <c r="M8" s="34"/>
      <c r="N8" s="34"/>
      <c r="O8" s="34"/>
      <c r="P8" s="34"/>
      <c r="Q8" s="34"/>
      <c r="R8" s="386"/>
      <c r="S8" s="68"/>
      <c r="T8" s="36"/>
      <c r="U8" s="34"/>
    </row>
    <row r="9" spans="1:21" ht="40.5" customHeight="1" x14ac:dyDescent="0.3">
      <c r="A9" s="34"/>
      <c r="B9" s="33"/>
      <c r="C9" s="419" t="s">
        <v>121</v>
      </c>
      <c r="D9" s="403" t="s">
        <v>122</v>
      </c>
      <c r="E9" s="404"/>
      <c r="F9" s="404"/>
      <c r="G9" s="404"/>
      <c r="H9" s="404"/>
      <c r="I9" s="405"/>
      <c r="J9" s="34"/>
      <c r="K9" s="67"/>
      <c r="L9" s="34"/>
      <c r="M9" s="34"/>
      <c r="N9" s="34"/>
      <c r="O9" s="34"/>
      <c r="P9" s="34"/>
      <c r="Q9" s="34"/>
      <c r="R9" s="67">
        <v>5</v>
      </c>
      <c r="S9" s="136"/>
      <c r="T9" s="36"/>
      <c r="U9" s="34"/>
    </row>
    <row r="10" spans="1:21" ht="27" customHeight="1" x14ac:dyDescent="0.3">
      <c r="A10" s="378"/>
      <c r="B10" s="137"/>
      <c r="C10" s="416"/>
      <c r="D10" s="234">
        <v>1</v>
      </c>
      <c r="E10" s="232" t="s">
        <v>123</v>
      </c>
      <c r="F10" s="139"/>
      <c r="G10" s="140"/>
      <c r="H10" s="140"/>
      <c r="I10" s="141">
        <f>COUNTIF('1 Listed activity'!E10:E34,"*Part*")</f>
        <v>0</v>
      </c>
      <c r="J10" s="34"/>
      <c r="K10" s="67">
        <f>IF(I10=1,1,IF(I10=2,2,3))</f>
        <v>3</v>
      </c>
      <c r="L10" s="34"/>
      <c r="M10" s="34"/>
      <c r="N10" s="34"/>
      <c r="O10" s="34"/>
      <c r="P10" s="34"/>
      <c r="Q10" s="34"/>
      <c r="R10" s="67">
        <v>8</v>
      </c>
      <c r="S10" s="67"/>
      <c r="T10" s="36"/>
      <c r="U10" s="142"/>
    </row>
    <row r="11" spans="1:21" ht="28.5" customHeight="1" x14ac:dyDescent="0.3">
      <c r="A11" s="378"/>
      <c r="B11" s="137"/>
      <c r="C11" s="416"/>
      <c r="D11" s="234">
        <v>2</v>
      </c>
      <c r="E11" s="232" t="s">
        <v>124</v>
      </c>
      <c r="F11" s="34"/>
      <c r="G11" s="143" cm="1">
        <f t="array" ref="G11">SUMPRODUCT((('1 Listed activity'!L10:L34&lt;&gt;"")/COUNTIF('1 Listed activity'!L10:L34,'1 Listed activity'!L10:L34&amp;"")))+G33</f>
        <v>0</v>
      </c>
      <c r="H11" s="67"/>
      <c r="I11" s="141">
        <f>G11</f>
        <v>0</v>
      </c>
      <c r="J11" s="34"/>
      <c r="K11" s="67">
        <f>IF(I11=0,0,IF(I11=1,1,IF(I11=2,2,3)))</f>
        <v>0</v>
      </c>
      <c r="L11" s="34"/>
      <c r="M11" s="34"/>
      <c r="N11" s="34"/>
      <c r="O11" s="34"/>
      <c r="P11" s="34"/>
      <c r="Q11" s="34"/>
      <c r="R11" s="67">
        <v>12</v>
      </c>
      <c r="S11" s="67"/>
      <c r="T11" s="36"/>
      <c r="U11" s="142"/>
    </row>
    <row r="12" spans="1:21" ht="27.75" customHeight="1" x14ac:dyDescent="0.3">
      <c r="A12" s="378"/>
      <c r="B12" s="137"/>
      <c r="C12" s="416"/>
      <c r="D12" s="235">
        <v>3</v>
      </c>
      <c r="E12" s="233" t="s">
        <v>125</v>
      </c>
      <c r="F12" s="144"/>
      <c r="G12" s="67"/>
      <c r="H12" s="145"/>
      <c r="I12" s="141">
        <f>_xlfn.MAXIFS('1 Listed activity'!S10:S34,'1 Listed activity'!S10:S34,"&lt;&gt;")</f>
        <v>0</v>
      </c>
      <c r="J12" s="34"/>
      <c r="K12" s="67">
        <f>IF(I12&lt;3,1,(IF(I12&gt;5,3,2)))</f>
        <v>1</v>
      </c>
      <c r="L12" s="34"/>
      <c r="M12" s="34"/>
      <c r="N12" s="34"/>
      <c r="O12" s="34"/>
      <c r="P12" s="34"/>
      <c r="Q12" s="34"/>
      <c r="R12" s="67"/>
      <c r="S12" s="67"/>
      <c r="T12" s="36"/>
      <c r="U12" s="142"/>
    </row>
    <row r="13" spans="1:21" ht="12" customHeight="1" x14ac:dyDescent="0.3">
      <c r="A13" s="34"/>
      <c r="B13" s="33"/>
      <c r="C13" s="416"/>
      <c r="D13" s="34"/>
      <c r="E13" s="34"/>
      <c r="F13" s="34"/>
      <c r="G13" s="67"/>
      <c r="H13" s="67"/>
      <c r="I13" s="34"/>
      <c r="J13" s="34"/>
      <c r="K13" s="67"/>
      <c r="L13" s="34"/>
      <c r="M13" s="34"/>
      <c r="N13" s="34"/>
      <c r="O13" s="34"/>
      <c r="P13" s="34"/>
      <c r="Q13" s="34"/>
      <c r="R13" s="67"/>
      <c r="S13" s="68"/>
      <c r="T13" s="36"/>
      <c r="U13" s="34"/>
    </row>
    <row r="14" spans="1:21" ht="29.25" customHeight="1" x14ac:dyDescent="0.3">
      <c r="A14" s="34"/>
      <c r="B14" s="33"/>
      <c r="C14" s="416"/>
      <c r="D14" s="236">
        <v>4</v>
      </c>
      <c r="E14" s="138" t="s">
        <v>126</v>
      </c>
      <c r="F14" s="139"/>
      <c r="G14" s="67">
        <f>COUNTIF('1 Listed activity'!N10:N34,"yes")</f>
        <v>0</v>
      </c>
      <c r="H14" s="68"/>
      <c r="I14" s="141" t="str">
        <f>IF(G14&gt;0,"Yes","No")</f>
        <v>No</v>
      </c>
      <c r="J14" s="34"/>
      <c r="K14" s="67"/>
      <c r="L14" s="34"/>
      <c r="M14" s="34"/>
      <c r="N14" s="142"/>
      <c r="O14" s="34"/>
      <c r="P14" s="34"/>
      <c r="Q14" s="34"/>
      <c r="R14" s="388" t="s">
        <v>127</v>
      </c>
      <c r="S14" s="388"/>
      <c r="T14" s="36"/>
      <c r="U14" s="34"/>
    </row>
    <row r="15" spans="1:21" ht="34.5" customHeight="1" x14ac:dyDescent="0.3">
      <c r="A15" s="34"/>
      <c r="B15" s="33"/>
      <c r="C15" s="416"/>
      <c r="D15" s="236">
        <v>5</v>
      </c>
      <c r="E15" s="138" t="s">
        <v>128</v>
      </c>
      <c r="F15" s="144"/>
      <c r="G15" s="67">
        <f>COUNTIF('1 Listed activity'!K10:K34,0)</f>
        <v>0</v>
      </c>
      <c r="H15" s="67"/>
      <c r="I15" s="152" t="str">
        <f>IF(G15&gt;0,"Yes","No")</f>
        <v>No</v>
      </c>
      <c r="J15" s="34"/>
      <c r="K15" s="67"/>
      <c r="L15" s="34"/>
      <c r="M15" s="34"/>
      <c r="N15" s="34"/>
      <c r="O15" s="142"/>
      <c r="P15" s="142"/>
      <c r="Q15" s="142"/>
      <c r="R15" s="388"/>
      <c r="S15" s="388"/>
      <c r="T15" s="36"/>
      <c r="U15" s="34"/>
    </row>
    <row r="16" spans="1:21" ht="13.5" customHeight="1" x14ac:dyDescent="0.3">
      <c r="A16" s="34"/>
      <c r="B16" s="33"/>
      <c r="C16" s="34"/>
      <c r="D16" s="34"/>
      <c r="E16" s="105"/>
      <c r="F16" s="34"/>
      <c r="G16" s="67"/>
      <c r="H16" s="67"/>
      <c r="I16" s="206"/>
      <c r="J16" s="206"/>
      <c r="K16" s="67"/>
      <c r="L16" s="34"/>
      <c r="M16" s="34"/>
      <c r="N16" s="34"/>
      <c r="O16" s="142"/>
      <c r="P16" s="142"/>
      <c r="Q16" s="142"/>
      <c r="R16" s="67"/>
      <c r="S16" s="67"/>
      <c r="T16" s="36"/>
      <c r="U16" s="34"/>
    </row>
    <row r="17" spans="1:28" ht="29.25" customHeight="1" x14ac:dyDescent="0.3">
      <c r="A17" s="34"/>
      <c r="B17" s="33"/>
      <c r="C17" s="34"/>
      <c r="D17" s="34"/>
      <c r="E17" s="105" t="str">
        <f>IF(H17="incomplete","Please check that you have completed the description of your activities on the Listed Activity sheet","")</f>
        <v/>
      </c>
      <c r="F17" s="34"/>
      <c r="G17" s="67" t="s">
        <v>129</v>
      </c>
      <c r="H17" s="67" t="str">
        <f>+'1 Listed activity'!P8</f>
        <v>complete</v>
      </c>
      <c r="I17" s="34"/>
      <c r="J17" s="34"/>
      <c r="K17" s="34"/>
      <c r="L17" s="34"/>
      <c r="M17" s="34"/>
      <c r="N17" s="34"/>
      <c r="O17" s="142"/>
      <c r="P17" s="142"/>
      <c r="Q17" s="142"/>
      <c r="R17" s="67"/>
      <c r="S17" s="67"/>
      <c r="T17" s="36"/>
      <c r="U17" s="34"/>
    </row>
    <row r="18" spans="1:28" ht="29.25" customHeight="1" x14ac:dyDescent="0.3">
      <c r="A18" s="34"/>
      <c r="B18" s="33"/>
      <c r="C18" s="34"/>
      <c r="D18" s="34"/>
      <c r="E18" s="105" t="str">
        <f>IF(H18="incomplete", "Please check that you have entered your activity's capactiy on the Listed Activity sheet","")</f>
        <v/>
      </c>
      <c r="F18" s="34"/>
      <c r="G18" s="67" t="s">
        <v>130</v>
      </c>
      <c r="H18" s="67" t="str">
        <f>+'1 Listed activity'!R8</f>
        <v>complete</v>
      </c>
      <c r="I18" s="211" t="s">
        <v>131</v>
      </c>
      <c r="J18" s="211" t="str">
        <f>IF(I10=0,"",IF(K18&lt;$R$9,"Band 1",IF(K18&lt;$R$10,"Band 2",IF(K18&lt;$R$11,"Band 3","Band 4"))))</f>
        <v/>
      </c>
      <c r="K18" s="67">
        <f>SUM(K10+K11+K12)</f>
        <v>4</v>
      </c>
      <c r="L18" s="34"/>
      <c r="M18" s="34"/>
      <c r="N18" s="34"/>
      <c r="O18" s="142"/>
      <c r="P18" s="142"/>
      <c r="Q18" s="142"/>
      <c r="R18" s="67"/>
      <c r="S18" s="67"/>
      <c r="T18" s="36"/>
      <c r="U18" s="34"/>
    </row>
    <row r="19" spans="1:28" ht="26.25" customHeight="1" x14ac:dyDescent="0.3">
      <c r="A19" s="34"/>
      <c r="B19" s="33"/>
      <c r="C19" s="34"/>
      <c r="D19" s="34"/>
      <c r="E19" s="105"/>
      <c r="F19" s="34"/>
      <c r="G19" s="67"/>
      <c r="H19" s="67"/>
      <c r="I19" s="34"/>
      <c r="J19" s="34"/>
      <c r="K19" s="67"/>
      <c r="L19" s="34"/>
      <c r="M19" s="34"/>
      <c r="N19" s="34"/>
      <c r="O19" s="34"/>
      <c r="P19" s="34"/>
      <c r="Q19" s="34"/>
      <c r="R19" s="67"/>
      <c r="S19" s="68"/>
      <c r="T19" s="36"/>
      <c r="U19" s="34"/>
    </row>
    <row r="20" spans="1:28" ht="30.75" customHeight="1" x14ac:dyDescent="0.3">
      <c r="A20" s="64"/>
      <c r="B20" s="147"/>
      <c r="C20" s="416" t="s">
        <v>60</v>
      </c>
      <c r="D20" s="416"/>
      <c r="E20" s="418" t="s">
        <v>132</v>
      </c>
      <c r="F20" s="404"/>
      <c r="G20" s="404"/>
      <c r="H20" s="404"/>
      <c r="I20" s="405"/>
      <c r="J20" s="34"/>
      <c r="K20" s="67"/>
      <c r="L20" s="34"/>
      <c r="M20" s="34"/>
      <c r="N20" s="34"/>
      <c r="O20" s="34"/>
      <c r="P20" s="34"/>
      <c r="Q20" s="34"/>
      <c r="R20" s="387" t="s">
        <v>133</v>
      </c>
      <c r="S20" s="387"/>
      <c r="T20" s="36"/>
      <c r="U20" s="34"/>
    </row>
    <row r="21" spans="1:28" ht="12.75" customHeight="1" x14ac:dyDescent="0.3">
      <c r="A21" s="64"/>
      <c r="B21" s="147"/>
      <c r="C21" s="148"/>
      <c r="D21" s="149"/>
      <c r="E21" s="150"/>
      <c r="F21" s="34"/>
      <c r="G21" s="34"/>
      <c r="H21" s="142"/>
      <c r="I21" s="151"/>
      <c r="J21" s="34"/>
      <c r="K21" s="34"/>
      <c r="L21" s="34"/>
      <c r="M21" s="34"/>
      <c r="N21" s="34"/>
      <c r="O21" s="34"/>
      <c r="P21" s="34"/>
      <c r="Q21" s="34"/>
      <c r="R21" s="68"/>
      <c r="S21" s="67"/>
      <c r="T21" s="36"/>
      <c r="U21" s="34"/>
    </row>
    <row r="22" spans="1:28" ht="31.5" customHeight="1" x14ac:dyDescent="0.3">
      <c r="A22" s="64"/>
      <c r="B22" s="147"/>
      <c r="C22" s="419" t="s">
        <v>134</v>
      </c>
      <c r="D22" s="298">
        <v>1</v>
      </c>
      <c r="E22" s="208" t="s">
        <v>135</v>
      </c>
      <c r="F22" s="139"/>
      <c r="G22" s="140" t="s">
        <v>136</v>
      </c>
      <c r="H22" s="140"/>
      <c r="I22" s="130"/>
      <c r="J22" s="34"/>
      <c r="K22" s="67">
        <f>IF(I23=0,0,IF(I23=1,1,IF(I23=2,2,3)))</f>
        <v>0</v>
      </c>
      <c r="L22" s="34"/>
      <c r="M22" s="34"/>
      <c r="N22" s="34"/>
      <c r="O22" s="34"/>
      <c r="P22" s="34"/>
      <c r="Q22" s="34"/>
      <c r="R22" s="390" t="s">
        <v>137</v>
      </c>
      <c r="S22" s="390"/>
      <c r="T22" s="36"/>
      <c r="U22" s="34"/>
      <c r="V22" s="12"/>
      <c r="W22" s="12"/>
      <c r="X22" s="12"/>
      <c r="Y22" s="12"/>
      <c r="Z22" s="12"/>
      <c r="AA22" s="12"/>
      <c r="AB22" s="12"/>
    </row>
    <row r="23" spans="1:28" ht="48.75" customHeight="1" x14ac:dyDescent="0.3">
      <c r="A23" s="64"/>
      <c r="B23" s="147"/>
      <c r="C23" s="419"/>
      <c r="D23" s="299">
        <v>2</v>
      </c>
      <c r="E23" s="153" t="s">
        <v>138</v>
      </c>
      <c r="F23" s="34"/>
      <c r="G23" s="67"/>
      <c r="H23" s="67"/>
      <c r="I23" s="130"/>
      <c r="J23" s="34"/>
      <c r="K23" s="67">
        <f>COUNTIF(I14:I26,"Yes")</f>
        <v>0</v>
      </c>
      <c r="L23" s="34"/>
      <c r="M23" s="34"/>
      <c r="N23" s="34"/>
      <c r="O23" s="34"/>
      <c r="P23" s="34"/>
      <c r="Q23" s="34"/>
      <c r="R23" s="386" t="s">
        <v>139</v>
      </c>
      <c r="S23" s="386"/>
      <c r="T23" s="36"/>
      <c r="U23" s="34"/>
    </row>
    <row r="24" spans="1:28" ht="24.75" customHeight="1" x14ac:dyDescent="0.3">
      <c r="A24" s="64"/>
      <c r="B24" s="147"/>
      <c r="C24" s="419"/>
      <c r="D24" s="300">
        <v>3</v>
      </c>
      <c r="E24" s="207" t="s">
        <v>140</v>
      </c>
      <c r="F24" s="34"/>
      <c r="G24" s="67" t="s">
        <v>136</v>
      </c>
      <c r="H24" s="67"/>
      <c r="I24" s="130"/>
      <c r="J24" s="34"/>
      <c r="K24" s="67">
        <f>SUM(K22+K23)</f>
        <v>0</v>
      </c>
      <c r="L24" s="34"/>
      <c r="M24" s="34"/>
      <c r="N24" s="34"/>
      <c r="O24" s="34"/>
      <c r="P24" s="34"/>
      <c r="Q24" s="34"/>
      <c r="R24" s="391" t="s">
        <v>141</v>
      </c>
      <c r="S24" s="391"/>
      <c r="T24" s="36"/>
      <c r="U24" s="34"/>
    </row>
    <row r="25" spans="1:28" ht="40.5" customHeight="1" x14ac:dyDescent="0.3">
      <c r="A25" s="64"/>
      <c r="B25" s="147"/>
      <c r="C25" s="419"/>
      <c r="D25" s="301">
        <v>4</v>
      </c>
      <c r="E25" s="207" t="s">
        <v>142</v>
      </c>
      <c r="F25" s="34"/>
      <c r="G25" s="67" t="s">
        <v>136</v>
      </c>
      <c r="H25" s="67"/>
      <c r="I25" s="130"/>
      <c r="J25" s="34"/>
      <c r="K25" s="67">
        <f>SUM(K24,K27)</f>
        <v>0</v>
      </c>
      <c r="L25" s="34"/>
      <c r="M25" s="154"/>
      <c r="N25" s="34"/>
      <c r="O25" s="398"/>
      <c r="P25" s="398"/>
      <c r="Q25" s="398"/>
      <c r="R25" s="386" t="s">
        <v>143</v>
      </c>
      <c r="S25" s="386"/>
      <c r="T25" s="36"/>
      <c r="U25" s="34"/>
    </row>
    <row r="26" spans="1:28" ht="35.25" customHeight="1" x14ac:dyDescent="0.3">
      <c r="A26" s="64"/>
      <c r="B26" s="147"/>
      <c r="C26" s="419"/>
      <c r="D26" s="298">
        <v>5</v>
      </c>
      <c r="E26" s="207" t="s">
        <v>144</v>
      </c>
      <c r="F26" s="34"/>
      <c r="G26" s="67" t="s">
        <v>136</v>
      </c>
      <c r="H26" s="68"/>
      <c r="I26" s="130"/>
      <c r="J26" s="34"/>
      <c r="K26" s="67">
        <f>IF(K25=1,1,(IF(K25&gt;1,2,0)))</f>
        <v>0</v>
      </c>
      <c r="L26" s="34"/>
      <c r="M26" s="154"/>
      <c r="N26" s="34"/>
      <c r="O26" s="398"/>
      <c r="P26" s="398"/>
      <c r="Q26" s="398"/>
      <c r="R26" s="386" t="s">
        <v>145</v>
      </c>
      <c r="S26" s="386"/>
      <c r="T26" s="36"/>
      <c r="U26" s="34"/>
    </row>
    <row r="27" spans="1:28" ht="38.25" customHeight="1" x14ac:dyDescent="0.3">
      <c r="A27" s="64"/>
      <c r="B27" s="147"/>
      <c r="C27" s="419"/>
      <c r="D27" s="298">
        <v>6</v>
      </c>
      <c r="E27" s="207" t="s">
        <v>146</v>
      </c>
      <c r="F27" s="144"/>
      <c r="G27" s="156" t="s">
        <v>136</v>
      </c>
      <c r="H27" s="156"/>
      <c r="I27" s="131"/>
      <c r="J27" s="34"/>
      <c r="K27" s="67">
        <f>IF(I27="Yes",-1,0)</f>
        <v>0</v>
      </c>
      <c r="L27" s="34"/>
      <c r="M27" s="34"/>
      <c r="N27" s="154"/>
      <c r="O27" s="34"/>
      <c r="P27" s="34"/>
      <c r="Q27" s="34"/>
      <c r="R27" s="386" t="s">
        <v>147</v>
      </c>
      <c r="S27" s="386"/>
      <c r="T27" s="36"/>
      <c r="U27" s="34"/>
    </row>
    <row r="28" spans="1:28" ht="31.5" customHeight="1" x14ac:dyDescent="0.3">
      <c r="A28" s="64"/>
      <c r="B28" s="147"/>
      <c r="C28" s="148"/>
      <c r="D28" s="149"/>
      <c r="E28" s="105"/>
      <c r="F28" s="34"/>
      <c r="G28" s="67"/>
      <c r="H28" s="67"/>
      <c r="I28" s="34"/>
      <c r="J28" s="34"/>
      <c r="K28" s="67">
        <f>K26</f>
        <v>0</v>
      </c>
      <c r="L28" s="34"/>
      <c r="M28" s="34"/>
      <c r="N28" s="34"/>
      <c r="O28" s="64"/>
      <c r="P28" s="64"/>
      <c r="Q28" s="64"/>
      <c r="R28" s="250"/>
      <c r="S28" s="250"/>
      <c r="T28" s="36"/>
      <c r="U28" s="34"/>
    </row>
    <row r="29" spans="1:28" ht="20.25" customHeight="1" x14ac:dyDescent="0.3">
      <c r="A29" s="64"/>
      <c r="B29" s="147"/>
      <c r="C29" s="148"/>
      <c r="D29" s="149"/>
      <c r="E29" s="105"/>
      <c r="F29" s="34"/>
      <c r="G29" s="67"/>
      <c r="H29" s="67"/>
      <c r="I29" s="34"/>
      <c r="J29" s="34"/>
      <c r="K29" s="67">
        <f>K26+K18</f>
        <v>4</v>
      </c>
      <c r="L29" s="34"/>
      <c r="M29" s="209"/>
      <c r="N29" s="34"/>
      <c r="O29" s="64"/>
      <c r="P29" s="64"/>
      <c r="Q29" s="64"/>
      <c r="R29" s="210" t="str">
        <f>IF(J18="","",IF(AND(J18="Band 1",K28=0),"Band 1",IF(AND(J18="Band 1",K28&gt;0),"Band 2",IF(AND(J18="Band 2",K28&lt;2),"Band 2",IF(AND(J18="Band 2",K28=2),"Band 3",IF(AND(J18="Band 3",K28&lt;2),"Band 3",IF(AND(J18="Band 3",K28=2),"Band 4")))))))</f>
        <v/>
      </c>
      <c r="S29" s="67"/>
      <c r="T29" s="36"/>
      <c r="U29" s="34"/>
    </row>
    <row r="30" spans="1:28" ht="35.25" customHeight="1" x14ac:dyDescent="0.3">
      <c r="A30" s="64"/>
      <c r="B30" s="147"/>
      <c r="C30" s="395" t="s">
        <v>148</v>
      </c>
      <c r="D30" s="155">
        <v>1</v>
      </c>
      <c r="E30" s="207" t="s">
        <v>149</v>
      </c>
      <c r="F30" s="139"/>
      <c r="G30" s="140" t="s">
        <v>150</v>
      </c>
      <c r="H30" s="158"/>
      <c r="I30" s="248"/>
      <c r="J30" s="34"/>
      <c r="K30" s="67"/>
      <c r="L30" s="34"/>
      <c r="M30" s="34"/>
      <c r="N30" s="34"/>
      <c r="O30" s="64"/>
      <c r="P30" s="64"/>
      <c r="Q30" s="64"/>
      <c r="R30" s="67"/>
      <c r="S30" s="67"/>
      <c r="T30" s="36"/>
      <c r="U30" s="34"/>
    </row>
    <row r="31" spans="1:28" ht="16.5" customHeight="1" x14ac:dyDescent="0.3">
      <c r="A31" s="64"/>
      <c r="B31" s="147"/>
      <c r="C31" s="396"/>
      <c r="D31" s="111"/>
      <c r="E31" s="230"/>
      <c r="F31" s="139"/>
      <c r="G31" s="139"/>
      <c r="H31" s="165"/>
      <c r="I31" s="231"/>
      <c r="J31" s="34"/>
      <c r="K31" s="34"/>
      <c r="L31" s="34"/>
      <c r="M31" s="34"/>
      <c r="N31" s="362" t="str">
        <f>"Base charges for new applications ("&amp;RIGHT(C2,7)&amp;")"</f>
        <v>Base charges for new applications (2024-25)</v>
      </c>
      <c r="O31" s="362"/>
      <c r="P31" s="362"/>
      <c r="Q31" s="362"/>
      <c r="R31" s="67"/>
      <c r="S31" s="67"/>
      <c r="T31" s="36"/>
      <c r="U31" s="34"/>
    </row>
    <row r="32" spans="1:28" ht="19.5" customHeight="1" x14ac:dyDescent="0.3">
      <c r="A32" s="64"/>
      <c r="B32" s="147"/>
      <c r="C32" s="396"/>
      <c r="D32" s="423">
        <v>2</v>
      </c>
      <c r="E32" s="226" t="s">
        <v>151</v>
      </c>
      <c r="F32" s="139"/>
      <c r="G32" s="140">
        <f>COUNTIF('1 Listed activity'!E10:E34,"5.1*")</f>
        <v>0</v>
      </c>
      <c r="H32" s="158"/>
      <c r="I32" s="414" t="str">
        <f>IF(OR(G32&gt;0,G33&gt;0),"Yes","No")</f>
        <v>No</v>
      </c>
      <c r="J32" s="34"/>
      <c r="K32" s="67"/>
      <c r="L32" s="34"/>
      <c r="M32" s="34"/>
      <c r="N32" s="160" t="s">
        <v>152</v>
      </c>
      <c r="O32" s="160" t="s">
        <v>153</v>
      </c>
      <c r="P32" s="161" t="s">
        <v>154</v>
      </c>
      <c r="Q32" s="160" t="s">
        <v>155</v>
      </c>
      <c r="R32" s="67"/>
      <c r="S32" s="67"/>
      <c r="T32" s="36"/>
      <c r="U32" s="34"/>
    </row>
    <row r="33" spans="1:21" ht="33" customHeight="1" x14ac:dyDescent="0.3">
      <c r="A33" s="64"/>
      <c r="B33" s="147"/>
      <c r="C33" s="396"/>
      <c r="D33" s="423"/>
      <c r="E33" s="227" t="s">
        <v>156</v>
      </c>
      <c r="F33" s="144"/>
      <c r="G33" s="156">
        <f>COUNTIF('1 Listed activity'!E10:E34,"3.1*")</f>
        <v>0</v>
      </c>
      <c r="H33" s="159"/>
      <c r="I33" s="415"/>
      <c r="J33" s="34"/>
      <c r="K33" s="67"/>
      <c r="L33" s="34"/>
      <c r="M33" s="34"/>
      <c r="N33" s="83">
        <v>13609</v>
      </c>
      <c r="O33" s="83">
        <v>20470</v>
      </c>
      <c r="P33" s="86">
        <v>32718</v>
      </c>
      <c r="Q33" s="83">
        <v>44850</v>
      </c>
      <c r="R33" s="67"/>
      <c r="S33" s="67"/>
      <c r="T33" s="36"/>
      <c r="U33" s="34"/>
    </row>
    <row r="34" spans="1:21" ht="30.75" customHeight="1" x14ac:dyDescent="0.3">
      <c r="A34" s="64"/>
      <c r="B34" s="147"/>
      <c r="C34" s="397"/>
      <c r="D34" s="228">
        <v>3</v>
      </c>
      <c r="E34" s="229" t="s">
        <v>157</v>
      </c>
      <c r="F34" s="139"/>
      <c r="G34" s="140">
        <f>COUNTIF('1 Listed activity'!E10:E34,"5.2*")</f>
        <v>0</v>
      </c>
      <c r="H34" s="158"/>
      <c r="I34" s="236" t="str">
        <f>IF(G34&gt;0,"Yes","No")</f>
        <v>No</v>
      </c>
      <c r="J34" s="34"/>
      <c r="K34" s="67">
        <f>COUNTIF(I30:I34,"Yes")</f>
        <v>0</v>
      </c>
      <c r="L34" s="157"/>
      <c r="M34" s="34"/>
      <c r="N34" s="83"/>
      <c r="O34" s="83"/>
      <c r="P34" s="86"/>
      <c r="Q34" s="83"/>
      <c r="R34" s="67"/>
      <c r="S34" s="67"/>
      <c r="T34" s="36"/>
      <c r="U34" s="34"/>
    </row>
    <row r="35" spans="1:21" ht="27" customHeight="1" x14ac:dyDescent="0.3">
      <c r="A35" s="64"/>
      <c r="B35" s="147"/>
      <c r="C35" s="34"/>
      <c r="D35" s="149"/>
      <c r="E35" s="164"/>
      <c r="F35" s="139"/>
      <c r="G35" s="139"/>
      <c r="H35" s="165"/>
      <c r="I35" s="166"/>
      <c r="J35" s="34"/>
      <c r="K35" s="67"/>
      <c r="L35" s="157"/>
      <c r="M35" s="34"/>
      <c r="N35" s="157"/>
      <c r="O35" s="170"/>
      <c r="P35" s="34"/>
      <c r="Q35" s="34"/>
      <c r="R35" s="67"/>
      <c r="S35" s="67"/>
      <c r="T35" s="36"/>
      <c r="U35" s="34"/>
    </row>
    <row r="36" spans="1:21" ht="27.9" customHeight="1" x14ac:dyDescent="0.3">
      <c r="A36" s="64"/>
      <c r="B36" s="167"/>
      <c r="C36" s="168"/>
      <c r="D36" s="148"/>
      <c r="E36" s="105"/>
      <c r="F36" s="157"/>
      <c r="G36" s="67"/>
      <c r="H36" s="169"/>
      <c r="I36" s="407" t="s">
        <v>158</v>
      </c>
      <c r="J36" s="408"/>
      <c r="K36" s="171"/>
      <c r="L36" s="239"/>
      <c r="M36" s="172" t="str">
        <f>IF(K34=0,R29,IF(AND(K34&gt;0,R29="Band 3"),"Band 4",IF(AND(K34&gt;0,R29="Band 4"),"Band 4","Band 3")))</f>
        <v/>
      </c>
      <c r="N36" s="34"/>
      <c r="O36" s="34"/>
      <c r="P36" s="34"/>
      <c r="Q36" s="34"/>
      <c r="R36" s="67"/>
      <c r="S36" s="67"/>
      <c r="T36" s="36"/>
      <c r="U36" s="34"/>
    </row>
    <row r="37" spans="1:21" ht="29.25" customHeight="1" x14ac:dyDescent="0.3">
      <c r="A37" s="64"/>
      <c r="B37" s="167"/>
      <c r="C37" s="148"/>
      <c r="D37" s="148"/>
      <c r="E37" s="105"/>
      <c r="F37" s="157"/>
      <c r="G37" s="67"/>
      <c r="H37" s="169"/>
      <c r="I37" s="409" t="s">
        <v>159</v>
      </c>
      <c r="J37" s="410"/>
      <c r="K37" s="156">
        <f>IF(M37&lt;&gt;"",M37,0)</f>
        <v>0</v>
      </c>
      <c r="L37" s="237"/>
      <c r="M37" s="238" t="str">
        <f>IF(M36="","",IF(M36="Band 1",N33,IF(M36="Band 2",O33,IF(M36="Band 3",P33,Q33))))</f>
        <v/>
      </c>
      <c r="N37" s="173"/>
      <c r="O37" s="34"/>
      <c r="P37" s="34"/>
      <c r="Q37" s="34"/>
      <c r="R37" s="67"/>
      <c r="S37" s="67"/>
      <c r="T37" s="36"/>
      <c r="U37" s="34"/>
    </row>
    <row r="38" spans="1:21" ht="13.5" customHeight="1" x14ac:dyDescent="0.3">
      <c r="A38" s="64"/>
      <c r="B38" s="167"/>
      <c r="C38" s="148"/>
      <c r="D38" s="148"/>
      <c r="E38" s="105"/>
      <c r="F38" s="157"/>
      <c r="G38" s="67"/>
      <c r="H38" s="169"/>
      <c r="I38" s="174"/>
      <c r="J38" s="174"/>
      <c r="K38" s="67"/>
      <c r="L38" s="34"/>
      <c r="M38" s="173"/>
      <c r="N38" s="173"/>
      <c r="O38" s="34"/>
      <c r="P38" s="34"/>
      <c r="Q38" s="34"/>
      <c r="R38" s="67"/>
      <c r="S38" s="67"/>
      <c r="T38" s="36"/>
      <c r="U38" s="34"/>
    </row>
    <row r="39" spans="1:21" ht="13.5" customHeight="1" x14ac:dyDescent="0.3">
      <c r="A39" s="64"/>
      <c r="B39" s="167"/>
      <c r="C39" s="34"/>
      <c r="D39" s="34"/>
      <c r="E39" s="34"/>
      <c r="F39" s="34"/>
      <c r="G39" s="67"/>
      <c r="H39" s="67"/>
      <c r="I39" s="34"/>
      <c r="J39" s="34"/>
      <c r="K39" s="67"/>
      <c r="L39" s="34"/>
      <c r="M39" s="34"/>
      <c r="N39" s="34"/>
      <c r="O39" s="64"/>
      <c r="P39" s="64"/>
      <c r="Q39" s="64"/>
      <c r="R39" s="169"/>
      <c r="S39" s="169"/>
      <c r="T39" s="175"/>
      <c r="U39" s="34"/>
    </row>
    <row r="40" spans="1:21" s="9" customFormat="1" ht="63" customHeight="1" x14ac:dyDescent="0.3">
      <c r="A40" s="64"/>
      <c r="B40" s="167"/>
      <c r="C40" s="416" t="s">
        <v>63</v>
      </c>
      <c r="D40" s="416" t="s">
        <v>160</v>
      </c>
      <c r="E40" s="416"/>
      <c r="F40" s="155" t="s">
        <v>161</v>
      </c>
      <c r="G40" s="176"/>
      <c r="H40" s="176"/>
      <c r="I40" s="155" t="s">
        <v>162</v>
      </c>
      <c r="J40" s="155" t="s">
        <v>163</v>
      </c>
      <c r="K40" s="169"/>
      <c r="L40" s="142"/>
      <c r="M40" s="155" t="s">
        <v>164</v>
      </c>
      <c r="N40" s="157"/>
      <c r="O40" s="157"/>
      <c r="P40" s="157"/>
      <c r="Q40" s="149"/>
      <c r="R40" s="169"/>
      <c r="S40" s="169"/>
      <c r="T40" s="175"/>
      <c r="U40" s="157"/>
    </row>
    <row r="41" spans="1:21" s="9" customFormat="1" ht="28.8" x14ac:dyDescent="0.3">
      <c r="A41" s="64"/>
      <c r="B41" s="167"/>
      <c r="C41" s="416"/>
      <c r="D41" s="177">
        <v>1</v>
      </c>
      <c r="E41" s="178" t="s">
        <v>165</v>
      </c>
      <c r="F41" s="179">
        <f>COUNTIF('2 Other activities'!H13:H32,"*complex*")</f>
        <v>0</v>
      </c>
      <c r="G41" s="67"/>
      <c r="H41" s="140"/>
      <c r="I41" s="240">
        <v>1626</v>
      </c>
      <c r="J41" s="180">
        <f>IF(F41&gt;0,I41,0)</f>
        <v>0</v>
      </c>
      <c r="K41" s="67"/>
      <c r="L41" s="34"/>
      <c r="M41" s="181">
        <f>IF(J42=0,J41,0)</f>
        <v>0</v>
      </c>
      <c r="N41" s="34"/>
      <c r="O41" s="34"/>
      <c r="P41" s="34"/>
      <c r="Q41" s="182"/>
      <c r="R41" s="67"/>
      <c r="S41" s="67"/>
      <c r="T41" s="36"/>
      <c r="U41" s="157"/>
    </row>
    <row r="42" spans="1:21" ht="42" customHeight="1" x14ac:dyDescent="0.3">
      <c r="A42" s="389"/>
      <c r="B42" s="147"/>
      <c r="C42" s="416"/>
      <c r="D42" s="183">
        <v>2</v>
      </c>
      <c r="E42" s="178" t="s">
        <v>166</v>
      </c>
      <c r="F42" s="184">
        <f>COUNTIF('2 Other activities'!G13:G22,"PartB_MCP_and_or_SG")</f>
        <v>0</v>
      </c>
      <c r="G42" s="156"/>
      <c r="H42" s="156"/>
      <c r="I42" s="240">
        <f>907+1626</f>
        <v>2533</v>
      </c>
      <c r="J42" s="180">
        <f>IF(F42&gt;0,I42,0)</f>
        <v>0</v>
      </c>
      <c r="K42" s="67"/>
      <c r="L42" s="34"/>
      <c r="M42" s="185">
        <f>J42</f>
        <v>0</v>
      </c>
      <c r="N42" s="34"/>
      <c r="O42" s="34"/>
      <c r="P42" s="34"/>
      <c r="Q42" s="34"/>
      <c r="R42" s="67"/>
      <c r="S42" s="67"/>
      <c r="T42" s="36"/>
      <c r="U42" s="34"/>
    </row>
    <row r="43" spans="1:21" ht="28.8" x14ac:dyDescent="0.3">
      <c r="A43" s="389"/>
      <c r="B43" s="147"/>
      <c r="C43" s="416"/>
      <c r="D43" s="183">
        <v>3</v>
      </c>
      <c r="E43" s="178" t="s">
        <v>167</v>
      </c>
      <c r="F43" s="186">
        <f>COUNTIF('2 Other activities'!G13:G32,"PartA2")+COUNTIF('2 Other activities'!G13:G32,"Part_B*")</f>
        <v>0</v>
      </c>
      <c r="G43" s="156"/>
      <c r="H43" s="156"/>
      <c r="I43" s="240">
        <v>1626</v>
      </c>
      <c r="J43" s="187">
        <f>SUM(F43*I43)</f>
        <v>0</v>
      </c>
      <c r="K43" s="67"/>
      <c r="L43" s="34"/>
      <c r="M43" s="185">
        <f>IF(J43&lt;(3*I43),J43,(3*I43))</f>
        <v>0</v>
      </c>
      <c r="N43" s="34"/>
      <c r="O43" s="34"/>
      <c r="P43" s="34"/>
      <c r="Q43" s="182"/>
      <c r="R43" s="67"/>
      <c r="S43" s="67"/>
      <c r="T43" s="36"/>
      <c r="U43" s="34"/>
    </row>
    <row r="44" spans="1:21" ht="45" customHeight="1" x14ac:dyDescent="0.3">
      <c r="A44" s="389"/>
      <c r="B44" s="147"/>
      <c r="C44" s="416"/>
      <c r="D44" s="183">
        <v>4</v>
      </c>
      <c r="E44" s="178" t="s">
        <v>168</v>
      </c>
      <c r="F44" s="186">
        <f>COUNTIF('2 Other activities'!H11:H31,"DAA waste activity that is not under Section 5.1 - 5.7 of Schedule 1 of the EP Regulations")</f>
        <v>0</v>
      </c>
      <c r="G44" s="156"/>
      <c r="H44" s="156"/>
      <c r="I44" s="240">
        <f>(10011*0.2)</f>
        <v>2002.2</v>
      </c>
      <c r="J44" s="187">
        <f>SUM(F44*I44)</f>
        <v>0</v>
      </c>
      <c r="K44" s="67"/>
      <c r="L44" s="34"/>
      <c r="M44" s="188">
        <f>IF(J44&lt;(3*I44),J44,(3*I44))</f>
        <v>0</v>
      </c>
      <c r="N44" s="34"/>
      <c r="O44" s="34"/>
      <c r="P44" s="34"/>
      <c r="Q44" s="182"/>
      <c r="R44" s="67"/>
      <c r="S44" s="67"/>
      <c r="T44" s="36"/>
      <c r="U44" s="34"/>
    </row>
    <row r="45" spans="1:21" ht="46.5" customHeight="1" x14ac:dyDescent="0.3">
      <c r="A45" s="389"/>
      <c r="B45" s="147"/>
      <c r="C45" s="34"/>
      <c r="D45" s="189"/>
      <c r="E45" s="34"/>
      <c r="F45" s="34"/>
      <c r="G45" s="67"/>
      <c r="H45" s="67"/>
      <c r="I45" s="34"/>
      <c r="J45" s="34"/>
      <c r="K45" s="67"/>
      <c r="L45" s="34"/>
      <c r="M45" s="190">
        <f>SUM(M41:M44)</f>
        <v>0</v>
      </c>
      <c r="N45" s="191" t="s">
        <v>169</v>
      </c>
      <c r="O45" s="34"/>
      <c r="P45" s="34"/>
      <c r="Q45" s="34"/>
      <c r="R45" s="67"/>
      <c r="S45" s="67"/>
      <c r="T45" s="36"/>
      <c r="U45" s="34"/>
    </row>
    <row r="46" spans="1:21" ht="30" customHeight="1" x14ac:dyDescent="0.3">
      <c r="A46" s="64"/>
      <c r="B46" s="167"/>
      <c r="C46" s="34"/>
      <c r="D46" s="34"/>
      <c r="E46" s="105" t="str">
        <f>IF(H46="incomplete","Please check that you have entered the description for your Other Activities on the previous sheet","")</f>
        <v/>
      </c>
      <c r="F46" s="34"/>
      <c r="G46" s="146" t="s">
        <v>170</v>
      </c>
      <c r="H46" s="192" t="str">
        <f>+'2 Other activities'!F12</f>
        <v>complete</v>
      </c>
      <c r="I46" s="34"/>
      <c r="J46" s="34"/>
      <c r="K46" s="67"/>
      <c r="L46" s="34"/>
      <c r="M46" s="34"/>
      <c r="N46" s="34"/>
      <c r="O46" s="64"/>
      <c r="P46" s="64"/>
      <c r="Q46" s="64"/>
      <c r="R46" s="67"/>
      <c r="S46" s="67"/>
      <c r="T46" s="36"/>
      <c r="U46" s="34"/>
    </row>
    <row r="47" spans="1:21" ht="31.5" customHeight="1" x14ac:dyDescent="0.3">
      <c r="A47" s="34"/>
      <c r="B47" s="33"/>
      <c r="C47" s="34"/>
      <c r="D47" s="34"/>
      <c r="E47" s="105" t="str">
        <f>IF(H47="incomplete","Please check that you have completed all the blue dropdown entries for your activities on the previous sheet","")</f>
        <v/>
      </c>
      <c r="F47" s="34"/>
      <c r="G47" s="146" t="s">
        <v>171</v>
      </c>
      <c r="H47" s="192" t="str">
        <f>+'2 Other activities'!H12</f>
        <v>complete</v>
      </c>
      <c r="I47" s="34"/>
      <c r="J47" s="34"/>
      <c r="K47" s="67"/>
      <c r="L47" s="34"/>
      <c r="M47" s="34"/>
      <c r="N47" s="34"/>
      <c r="O47" s="64"/>
      <c r="P47" s="64"/>
      <c r="Q47" s="64"/>
      <c r="R47" s="67"/>
      <c r="S47" s="67"/>
      <c r="T47" s="36"/>
      <c r="U47" s="34"/>
    </row>
    <row r="48" spans="1:21" ht="20.100000000000001" customHeight="1" x14ac:dyDescent="0.3">
      <c r="A48" s="34"/>
      <c r="B48" s="33"/>
      <c r="C48" s="34"/>
      <c r="D48" s="34"/>
      <c r="E48" s="34"/>
      <c r="F48" s="34"/>
      <c r="G48" s="67"/>
      <c r="H48" s="67"/>
      <c r="I48" s="34"/>
      <c r="J48" s="34"/>
      <c r="K48" s="67"/>
      <c r="L48" s="34"/>
      <c r="M48" s="34"/>
      <c r="N48" s="34"/>
      <c r="O48" s="64"/>
      <c r="P48" s="64"/>
      <c r="Q48" s="64"/>
      <c r="R48" s="67"/>
      <c r="S48" s="67"/>
      <c r="T48" s="36"/>
      <c r="U48" s="34"/>
    </row>
    <row r="49" spans="1:21" ht="40.5" customHeight="1" x14ac:dyDescent="0.3">
      <c r="A49" s="34"/>
      <c r="B49" s="33"/>
      <c r="C49" s="249" t="s">
        <v>65</v>
      </c>
      <c r="D49" s="392" t="s">
        <v>172</v>
      </c>
      <c r="E49" s="393"/>
      <c r="F49" s="393"/>
      <c r="G49" s="393"/>
      <c r="H49" s="393"/>
      <c r="I49" s="393"/>
      <c r="J49" s="394"/>
      <c r="K49" s="67"/>
      <c r="L49" s="34"/>
      <c r="M49" s="34"/>
      <c r="N49" s="34"/>
      <c r="O49" s="170"/>
      <c r="P49" s="170"/>
      <c r="Q49" s="170"/>
      <c r="R49" s="67"/>
      <c r="S49" s="67"/>
      <c r="T49" s="36"/>
      <c r="U49" s="34"/>
    </row>
    <row r="50" spans="1:21" ht="32.4" customHeight="1" x14ac:dyDescent="0.3">
      <c r="A50" s="34"/>
      <c r="B50" s="33"/>
      <c r="C50" s="419" t="s">
        <v>173</v>
      </c>
      <c r="D50" s="245"/>
      <c r="E50" s="420" t="s">
        <v>174</v>
      </c>
      <c r="F50" s="421"/>
      <c r="G50" s="421"/>
      <c r="H50" s="421"/>
      <c r="I50" s="421"/>
      <c r="J50" s="422"/>
      <c r="K50" s="156"/>
      <c r="L50" s="194"/>
      <c r="M50" s="246" t="s">
        <v>175</v>
      </c>
      <c r="N50" s="247" t="s">
        <v>176</v>
      </c>
      <c r="O50" s="399" t="s">
        <v>177</v>
      </c>
      <c r="P50" s="399"/>
      <c r="Q50" s="399"/>
      <c r="R50" s="67"/>
      <c r="S50" s="67"/>
      <c r="T50" s="36"/>
      <c r="U50" s="34"/>
    </row>
    <row r="51" spans="1:21" ht="49.5" customHeight="1" x14ac:dyDescent="0.3">
      <c r="A51" s="34"/>
      <c r="B51" s="33"/>
      <c r="C51" s="419"/>
      <c r="D51" s="212">
        <v>1</v>
      </c>
      <c r="E51" s="241" t="s">
        <v>178</v>
      </c>
      <c r="F51" s="242"/>
      <c r="G51" s="243"/>
      <c r="H51" s="244" t="str">
        <f t="shared" ref="H51:H58" si="0">IF(AND(F51="yes",O51=""),"incomplete","")</f>
        <v/>
      </c>
      <c r="I51" s="412" t="str">
        <f>IF(AND(F51="Yes",O51&gt;0),"",IF(AND(F51="Yes",O51=""),"Please provide a document reference in column O",""))</f>
        <v/>
      </c>
      <c r="J51" s="413"/>
      <c r="K51" s="67"/>
      <c r="L51" s="194"/>
      <c r="M51" s="195" t="str">
        <f t="shared" ref="M51:M58" si="1">IF(F51="Yes",N51,"")</f>
        <v/>
      </c>
      <c r="N51" s="196">
        <v>2692</v>
      </c>
      <c r="O51" s="411"/>
      <c r="P51" s="411"/>
      <c r="Q51" s="411"/>
      <c r="R51" s="67"/>
      <c r="S51" s="67"/>
      <c r="T51" s="36"/>
      <c r="U51" s="34"/>
    </row>
    <row r="52" spans="1:21" ht="30" customHeight="1" x14ac:dyDescent="0.3">
      <c r="A52" s="34"/>
      <c r="B52" s="33"/>
      <c r="C52" s="419"/>
      <c r="D52" s="155">
        <v>2</v>
      </c>
      <c r="E52" s="193" t="s">
        <v>179</v>
      </c>
      <c r="F52" s="132"/>
      <c r="G52" s="67"/>
      <c r="H52" s="67" t="str">
        <f t="shared" si="0"/>
        <v/>
      </c>
      <c r="I52" s="412" t="str">
        <f t="shared" ref="I52:I58" si="2">IF(AND(F52="Yes",O52&gt;0),"",IF(AND(F52="Yes",O52=""),"Please provide a document reference in column O",""))</f>
        <v/>
      </c>
      <c r="J52" s="413"/>
      <c r="K52" s="67"/>
      <c r="L52" s="194"/>
      <c r="M52" s="195" t="str">
        <f t="shared" si="1"/>
        <v/>
      </c>
      <c r="N52" s="196">
        <v>1619</v>
      </c>
      <c r="O52" s="411"/>
      <c r="P52" s="411"/>
      <c r="Q52" s="411"/>
      <c r="R52" s="67"/>
      <c r="S52" s="67"/>
      <c r="T52" s="36"/>
      <c r="U52" s="34"/>
    </row>
    <row r="53" spans="1:21" ht="30" customHeight="1" x14ac:dyDescent="0.3">
      <c r="A53" s="34"/>
      <c r="B53" s="33"/>
      <c r="C53" s="419"/>
      <c r="D53" s="155">
        <v>3</v>
      </c>
      <c r="E53" s="193" t="s">
        <v>180</v>
      </c>
      <c r="F53" s="132"/>
      <c r="G53" s="67"/>
      <c r="H53" s="67" t="str">
        <f t="shared" si="0"/>
        <v/>
      </c>
      <c r="I53" s="412" t="str">
        <f t="shared" si="2"/>
        <v/>
      </c>
      <c r="J53" s="413"/>
      <c r="K53" s="67"/>
      <c r="L53" s="194"/>
      <c r="M53" s="195" t="str">
        <f t="shared" si="1"/>
        <v/>
      </c>
      <c r="N53" s="196">
        <v>1657</v>
      </c>
      <c r="O53" s="411"/>
      <c r="P53" s="411"/>
      <c r="Q53" s="411"/>
      <c r="R53" s="67"/>
      <c r="S53" s="67"/>
      <c r="T53" s="36"/>
      <c r="U53" s="34"/>
    </row>
    <row r="54" spans="1:21" ht="30" customHeight="1" x14ac:dyDescent="0.3">
      <c r="A54" s="34"/>
      <c r="B54" s="33"/>
      <c r="C54" s="419"/>
      <c r="D54" s="155">
        <v>4</v>
      </c>
      <c r="E54" s="193" t="s">
        <v>181</v>
      </c>
      <c r="F54" s="132"/>
      <c r="G54" s="67"/>
      <c r="H54" s="67" t="str">
        <f t="shared" si="0"/>
        <v/>
      </c>
      <c r="I54" s="412" t="str">
        <f t="shared" si="2"/>
        <v/>
      </c>
      <c r="J54" s="413"/>
      <c r="K54" s="67"/>
      <c r="L54" s="194"/>
      <c r="M54" s="195" t="str">
        <f t="shared" si="1"/>
        <v/>
      </c>
      <c r="N54" s="196">
        <v>3380</v>
      </c>
      <c r="O54" s="411"/>
      <c r="P54" s="411"/>
      <c r="Q54" s="411"/>
      <c r="R54" s="67"/>
      <c r="S54" s="67"/>
      <c r="T54" s="36"/>
      <c r="U54" s="34"/>
    </row>
    <row r="55" spans="1:21" ht="30" customHeight="1" x14ac:dyDescent="0.3">
      <c r="A55" s="34"/>
      <c r="B55" s="33"/>
      <c r="C55" s="419"/>
      <c r="D55" s="155">
        <v>5</v>
      </c>
      <c r="E55" s="193" t="s">
        <v>182</v>
      </c>
      <c r="F55" s="132"/>
      <c r="G55" s="67"/>
      <c r="H55" s="67" t="str">
        <f t="shared" si="0"/>
        <v/>
      </c>
      <c r="I55" s="412" t="str">
        <f t="shared" si="2"/>
        <v/>
      </c>
      <c r="J55" s="413"/>
      <c r="K55" s="67"/>
      <c r="L55" s="194"/>
      <c r="M55" s="195" t="str">
        <f t="shared" si="1"/>
        <v/>
      </c>
      <c r="N55" s="196">
        <v>2425</v>
      </c>
      <c r="O55" s="411"/>
      <c r="P55" s="411"/>
      <c r="Q55" s="411"/>
      <c r="R55" s="67"/>
      <c r="S55" s="67"/>
      <c r="T55" s="36"/>
      <c r="U55" s="34"/>
    </row>
    <row r="56" spans="1:21" ht="30" customHeight="1" x14ac:dyDescent="0.3">
      <c r="A56" s="34"/>
      <c r="B56" s="33"/>
      <c r="C56" s="419"/>
      <c r="D56" s="155">
        <v>6</v>
      </c>
      <c r="E56" s="193" t="s">
        <v>183</v>
      </c>
      <c r="F56" s="132"/>
      <c r="G56" s="67"/>
      <c r="H56" s="67" t="str">
        <f t="shared" si="0"/>
        <v/>
      </c>
      <c r="I56" s="412" t="str">
        <f t="shared" si="2"/>
        <v/>
      </c>
      <c r="J56" s="413"/>
      <c r="K56" s="67"/>
      <c r="L56" s="194"/>
      <c r="M56" s="195" t="str">
        <f t="shared" si="1"/>
        <v/>
      </c>
      <c r="N56" s="196">
        <v>1734</v>
      </c>
      <c r="O56" s="411"/>
      <c r="P56" s="411"/>
      <c r="Q56" s="411"/>
      <c r="R56" s="67"/>
      <c r="S56" s="67"/>
      <c r="T56" s="36"/>
      <c r="U56" s="34"/>
    </row>
    <row r="57" spans="1:21" ht="30" customHeight="1" x14ac:dyDescent="0.3">
      <c r="A57" s="34"/>
      <c r="B57" s="33"/>
      <c r="C57" s="419"/>
      <c r="D57" s="155">
        <v>7</v>
      </c>
      <c r="E57" s="193" t="s">
        <v>184</v>
      </c>
      <c r="F57" s="132"/>
      <c r="G57" s="67"/>
      <c r="H57" s="67" t="str">
        <f t="shared" si="0"/>
        <v/>
      </c>
      <c r="I57" s="412" t="str">
        <f t="shared" si="2"/>
        <v/>
      </c>
      <c r="J57" s="413"/>
      <c r="K57" s="67"/>
      <c r="L57" s="194"/>
      <c r="M57" s="195" t="str">
        <f t="shared" si="1"/>
        <v/>
      </c>
      <c r="N57" s="196">
        <v>2343</v>
      </c>
      <c r="O57" s="411"/>
      <c r="P57" s="411"/>
      <c r="Q57" s="411"/>
      <c r="R57" s="67"/>
      <c r="S57" s="67"/>
      <c r="T57" s="36"/>
      <c r="U57" s="34"/>
    </row>
    <row r="58" spans="1:21" ht="30" customHeight="1" x14ac:dyDescent="0.3">
      <c r="A58" s="34"/>
      <c r="B58" s="33"/>
      <c r="C58" s="419"/>
      <c r="D58" s="155">
        <v>8</v>
      </c>
      <c r="E58" s="193" t="s">
        <v>185</v>
      </c>
      <c r="F58" s="132"/>
      <c r="G58" s="197"/>
      <c r="H58" s="198" t="str">
        <f t="shared" si="0"/>
        <v/>
      </c>
      <c r="I58" s="412" t="str">
        <f t="shared" si="2"/>
        <v/>
      </c>
      <c r="J58" s="413"/>
      <c r="K58" s="156"/>
      <c r="L58" s="34"/>
      <c r="M58" s="195" t="str">
        <f t="shared" si="1"/>
        <v/>
      </c>
      <c r="N58" s="196">
        <v>3222</v>
      </c>
      <c r="O58" s="411"/>
      <c r="P58" s="411"/>
      <c r="Q58" s="411"/>
      <c r="R58" s="67"/>
      <c r="S58" s="67"/>
      <c r="T58" s="36"/>
      <c r="U58" s="34"/>
    </row>
    <row r="59" spans="1:21" ht="30" customHeight="1" x14ac:dyDescent="0.3">
      <c r="A59" s="34"/>
      <c r="B59" s="33"/>
      <c r="C59" s="34"/>
      <c r="D59" s="34"/>
      <c r="E59" s="34"/>
      <c r="F59" s="34"/>
      <c r="G59" s="67"/>
      <c r="H59" s="34"/>
      <c r="I59" s="34"/>
      <c r="J59" s="34"/>
      <c r="K59" s="67"/>
      <c r="L59" s="34"/>
      <c r="M59" s="199">
        <f>SUM(M51:M58)</f>
        <v>0</v>
      </c>
      <c r="N59" s="34"/>
      <c r="O59" s="64"/>
      <c r="P59" s="64"/>
      <c r="Q59" s="34"/>
      <c r="R59" s="67"/>
      <c r="S59" s="67"/>
      <c r="T59" s="36"/>
      <c r="U59" s="34"/>
    </row>
    <row r="60" spans="1:21" ht="30" customHeight="1" x14ac:dyDescent="0.3">
      <c r="A60" s="34"/>
      <c r="B60" s="33"/>
      <c r="C60" s="34"/>
      <c r="D60" s="34"/>
      <c r="E60" s="296" t="str">
        <f>IF(H60="incomplete","Please check that you have entered the document references required for your additional assessments","")</f>
        <v/>
      </c>
      <c r="F60" s="34"/>
      <c r="G60" s="67"/>
      <c r="H60" s="67" t="str" cm="1">
        <f t="array" ref="H60">IF(OR(H51:H58="incomplete"),"incomplete","Complete")</f>
        <v>Complete</v>
      </c>
      <c r="I60" s="34"/>
      <c r="J60" s="34"/>
      <c r="K60" s="67"/>
      <c r="L60" s="34"/>
      <c r="M60" s="200"/>
      <c r="N60" s="34"/>
      <c r="O60" s="64"/>
      <c r="P60" s="64"/>
      <c r="Q60" s="34"/>
      <c r="R60" s="67"/>
      <c r="S60" s="67"/>
      <c r="T60" s="36"/>
      <c r="U60" s="34"/>
    </row>
    <row r="61" spans="1:21" ht="30" customHeight="1" x14ac:dyDescent="0.3">
      <c r="A61" s="34"/>
      <c r="B61" s="33"/>
      <c r="C61" s="34"/>
      <c r="D61" s="34"/>
      <c r="E61" s="296" t="str">
        <f>IF(H61="incomplete","Please check that you have answered all the questions in the blue dropdown boxes in this section","")</f>
        <v>Please check that you have answered all the questions in the blue dropdown boxes in this section</v>
      </c>
      <c r="F61" s="34"/>
      <c r="G61" s="67"/>
      <c r="H61" s="34" t="str">
        <f>IF(OR(F55=0,F52=0,F53=0,F54=0,F51=0,F56=0,F57=0,F58=0,"incomplete"),"Incomplete","Complete")</f>
        <v>Incomplete</v>
      </c>
      <c r="I61" s="34"/>
      <c r="J61" s="34"/>
      <c r="K61" s="67"/>
      <c r="L61" s="34"/>
      <c r="M61" s="200"/>
      <c r="N61" s="34"/>
      <c r="O61" s="64"/>
      <c r="P61" s="64"/>
      <c r="Q61" s="34"/>
      <c r="R61" s="67"/>
      <c r="S61" s="67"/>
      <c r="T61" s="36"/>
      <c r="U61" s="34"/>
    </row>
    <row r="62" spans="1:21" ht="30" customHeight="1" x14ac:dyDescent="0.3">
      <c r="A62" s="34"/>
      <c r="B62" s="33"/>
      <c r="C62" s="34"/>
      <c r="D62" s="34"/>
      <c r="E62" s="34"/>
      <c r="F62" s="142"/>
      <c r="G62" s="68"/>
      <c r="H62" s="68"/>
      <c r="I62" s="142"/>
      <c r="J62" s="34"/>
      <c r="K62" s="67"/>
      <c r="L62" s="34"/>
      <c r="M62" s="34"/>
      <c r="N62" s="34"/>
      <c r="O62" s="34"/>
      <c r="P62" s="34"/>
      <c r="Q62" s="34"/>
      <c r="R62" s="67"/>
      <c r="S62" s="67"/>
      <c r="T62" s="36"/>
      <c r="U62" s="34"/>
    </row>
    <row r="63" spans="1:21" ht="14.1" customHeight="1" x14ac:dyDescent="0.3">
      <c r="A63" s="34"/>
      <c r="B63" s="33"/>
      <c r="C63" s="34"/>
      <c r="D63" s="34"/>
      <c r="E63" s="34"/>
      <c r="F63" s="34"/>
      <c r="G63" s="67"/>
      <c r="H63" s="67"/>
      <c r="I63" s="34"/>
      <c r="J63" s="34"/>
      <c r="K63" s="67"/>
      <c r="L63" s="34"/>
      <c r="M63" s="34"/>
      <c r="N63" s="34"/>
      <c r="O63" s="34"/>
      <c r="P63" s="64"/>
      <c r="Q63" s="64"/>
      <c r="R63" s="67"/>
      <c r="S63" s="67"/>
      <c r="T63" s="36"/>
      <c r="U63" s="34"/>
    </row>
    <row r="64" spans="1:21" ht="51.6" customHeight="1" x14ac:dyDescent="0.35">
      <c r="A64" s="34"/>
      <c r="B64" s="33"/>
      <c r="C64" s="34"/>
      <c r="D64" s="34"/>
      <c r="E64" s="201" t="s">
        <v>186</v>
      </c>
      <c r="F64" s="34"/>
      <c r="G64" s="67"/>
      <c r="H64" s="67"/>
      <c r="I64" s="406" t="s">
        <v>187</v>
      </c>
      <c r="J64" s="406"/>
      <c r="K64" s="202">
        <f>SUM(K37+M45+M59)</f>
        <v>0</v>
      </c>
      <c r="L64" s="34"/>
      <c r="M64" s="203" t="str">
        <f>IF(K64=0,"",K64)</f>
        <v/>
      </c>
      <c r="N64" s="204"/>
      <c r="O64" s="34"/>
      <c r="P64" s="204"/>
      <c r="Q64" s="64"/>
      <c r="R64" s="67"/>
      <c r="S64" s="67"/>
      <c r="T64" s="36"/>
      <c r="U64" s="34"/>
    </row>
    <row r="65" spans="1:21" ht="34.5" customHeight="1" x14ac:dyDescent="0.3">
      <c r="A65" s="34"/>
      <c r="B65" s="33"/>
      <c r="C65" s="34"/>
      <c r="D65" s="34"/>
      <c r="E65" s="34"/>
      <c r="F65" s="34"/>
      <c r="G65" s="67"/>
      <c r="H65" s="67"/>
      <c r="I65" s="34"/>
      <c r="J65" s="34"/>
      <c r="K65" s="67"/>
      <c r="L65" s="34"/>
      <c r="M65" s="34"/>
      <c r="N65" s="34"/>
      <c r="O65" s="34"/>
      <c r="P65" s="34"/>
      <c r="Q65" s="34"/>
      <c r="R65" s="162" t="s">
        <v>188</v>
      </c>
      <c r="S65" s="67"/>
      <c r="T65" s="36"/>
      <c r="U65" s="34"/>
    </row>
    <row r="66" spans="1:21" x14ac:dyDescent="0.3">
      <c r="A66" s="34"/>
      <c r="B66" s="33"/>
      <c r="C66" s="34"/>
      <c r="D66" s="34"/>
      <c r="E66" s="34"/>
      <c r="F66" s="34"/>
      <c r="G66" s="67"/>
      <c r="H66" s="67"/>
      <c r="I66" s="34"/>
      <c r="J66" s="34"/>
      <c r="K66" s="67"/>
      <c r="L66" s="34"/>
      <c r="M66" s="205">
        <f>K64/R66</f>
        <v>0</v>
      </c>
      <c r="N66" s="34" t="s">
        <v>189</v>
      </c>
      <c r="O66" s="34"/>
      <c r="P66" s="34"/>
      <c r="Q66" s="34"/>
      <c r="R66" s="163">
        <v>105</v>
      </c>
      <c r="S66" s="67"/>
      <c r="T66" s="36"/>
      <c r="U66" s="34"/>
    </row>
    <row r="67" spans="1:21" x14ac:dyDescent="0.3">
      <c r="A67" s="34"/>
      <c r="B67" s="33"/>
      <c r="C67" s="34"/>
      <c r="D67" s="34"/>
      <c r="E67" s="34"/>
      <c r="F67" s="34"/>
      <c r="G67" s="67"/>
      <c r="H67" s="67"/>
      <c r="I67" s="34"/>
      <c r="J67" s="34"/>
      <c r="K67" s="67"/>
      <c r="L67" s="34"/>
      <c r="M67" s="34"/>
      <c r="N67" s="34"/>
      <c r="O67" s="34"/>
      <c r="P67" s="34"/>
      <c r="Q67" s="34"/>
      <c r="R67" s="67"/>
      <c r="S67" s="67"/>
      <c r="T67" s="36"/>
      <c r="U67" s="34"/>
    </row>
    <row r="68" spans="1:21" ht="15" thickBot="1" x14ac:dyDescent="0.35">
      <c r="A68" s="34"/>
      <c r="B68" s="40"/>
      <c r="C68" s="41"/>
      <c r="D68" s="41"/>
      <c r="E68" s="41"/>
      <c r="F68" s="41"/>
      <c r="G68" s="88"/>
      <c r="H68" s="88"/>
      <c r="I68" s="41"/>
      <c r="J68" s="41"/>
      <c r="K68" s="88"/>
      <c r="L68" s="41"/>
      <c r="M68" s="41"/>
      <c r="N68" s="41"/>
      <c r="O68" s="41"/>
      <c r="P68" s="41"/>
      <c r="Q68" s="41"/>
      <c r="R68" s="88"/>
      <c r="S68" s="88"/>
      <c r="T68" s="43"/>
      <c r="U68" s="34"/>
    </row>
    <row r="69" spans="1:21" x14ac:dyDescent="0.3">
      <c r="A69" s="34"/>
      <c r="B69" s="34"/>
      <c r="C69" s="34"/>
      <c r="D69" s="34"/>
      <c r="E69" s="34"/>
      <c r="F69" s="34"/>
      <c r="G69" s="67"/>
      <c r="H69" s="67"/>
      <c r="I69" s="34"/>
      <c r="J69" s="34"/>
      <c r="K69" s="67"/>
      <c r="L69" s="34"/>
      <c r="M69" s="34"/>
      <c r="N69" s="34"/>
      <c r="O69" s="34"/>
      <c r="P69" s="34"/>
      <c r="Q69" s="34"/>
      <c r="R69" s="67"/>
      <c r="S69" s="67"/>
      <c r="T69" s="34"/>
      <c r="U69" s="34"/>
    </row>
    <row r="70" spans="1:21" x14ac:dyDescent="0.3">
      <c r="A70" s="34"/>
      <c r="B70" s="34"/>
      <c r="C70" s="34"/>
      <c r="D70" s="34"/>
      <c r="E70" s="34"/>
      <c r="F70" s="34"/>
      <c r="G70" s="34"/>
      <c r="H70" s="34"/>
      <c r="I70" s="34"/>
      <c r="J70" s="34"/>
      <c r="K70" s="34"/>
      <c r="L70" s="34"/>
      <c r="M70" s="34"/>
      <c r="N70" s="34"/>
      <c r="O70" s="34"/>
      <c r="P70" s="34"/>
      <c r="Q70" s="34"/>
      <c r="R70" s="34"/>
      <c r="S70" s="34"/>
      <c r="T70" s="34"/>
      <c r="U70" s="34"/>
    </row>
  </sheetData>
  <sheetProtection algorithmName="SHA-512" hashValue="3LtniXtiNK6h/AyL2hFVDHMBBpxK4AoDAWQzLqK7+YeNDR3EEztdkWxtYMQSLo54xFP+mUBtNisJRI3sR/dvkg==" saltValue="T/B5fVaIqjweRYFORstTIw==" spinCount="100000" sheet="1" objects="1" scenarios="1"/>
  <mergeCells count="52">
    <mergeCell ref="R7:R8"/>
    <mergeCell ref="I57:J57"/>
    <mergeCell ref="I32:I33"/>
    <mergeCell ref="D40:E40"/>
    <mergeCell ref="C8:E8"/>
    <mergeCell ref="E20:I20"/>
    <mergeCell ref="C20:D20"/>
    <mergeCell ref="C9:C15"/>
    <mergeCell ref="O51:Q51"/>
    <mergeCell ref="C22:C27"/>
    <mergeCell ref="E50:J50"/>
    <mergeCell ref="I51:J51"/>
    <mergeCell ref="D32:D33"/>
    <mergeCell ref="N31:Q31"/>
    <mergeCell ref="C40:C44"/>
    <mergeCell ref="C50:C58"/>
    <mergeCell ref="I64:J64"/>
    <mergeCell ref="I36:J36"/>
    <mergeCell ref="I37:J37"/>
    <mergeCell ref="O53:Q53"/>
    <mergeCell ref="O54:Q54"/>
    <mergeCell ref="O55:Q55"/>
    <mergeCell ref="O56:Q56"/>
    <mergeCell ref="O57:Q57"/>
    <mergeCell ref="O58:Q58"/>
    <mergeCell ref="I53:J53"/>
    <mergeCell ref="I54:J54"/>
    <mergeCell ref="I58:J58"/>
    <mergeCell ref="O52:Q52"/>
    <mergeCell ref="I52:J52"/>
    <mergeCell ref="I55:J55"/>
    <mergeCell ref="I56:J56"/>
    <mergeCell ref="C4:I4"/>
    <mergeCell ref="D9:I9"/>
    <mergeCell ref="C6:D6"/>
    <mergeCell ref="E6:F6"/>
    <mergeCell ref="C7:D7"/>
    <mergeCell ref="E7:F7"/>
    <mergeCell ref="D49:J49"/>
    <mergeCell ref="C30:C34"/>
    <mergeCell ref="A10:A12"/>
    <mergeCell ref="O25:Q26"/>
    <mergeCell ref="O50:Q50"/>
    <mergeCell ref="R27:S27"/>
    <mergeCell ref="R20:S20"/>
    <mergeCell ref="R14:S15"/>
    <mergeCell ref="A42:A45"/>
    <mergeCell ref="R22:S22"/>
    <mergeCell ref="R23:S23"/>
    <mergeCell ref="R24:S24"/>
    <mergeCell ref="R25:S25"/>
    <mergeCell ref="R26:S26"/>
  </mergeCells>
  <conditionalFormatting sqref="G39 H46:H47 H34:H35 H21:H24 H15:H18 H27">
    <cfRule type="cellIs" dxfId="24" priority="55" operator="equal">
      <formula>"incomplete"</formula>
    </cfRule>
    <cfRule type="cellIs" dxfId="23" priority="56" operator="equal">
      <formula>"complete"</formula>
    </cfRule>
  </conditionalFormatting>
  <conditionalFormatting sqref="H61">
    <cfRule type="containsText" dxfId="22" priority="24" operator="containsText" text="INCOMPLETE">
      <formula>NOT(ISERROR(SEARCH("INCOMPLETE",H61)))</formula>
    </cfRule>
    <cfRule type="containsText" dxfId="21" priority="25" operator="containsText" text="COMPLETE">
      <formula>NOT(ISERROR(SEARCH("COMPLETE",H61)))</formula>
    </cfRule>
    <cfRule type="cellIs" dxfId="20" priority="29" operator="equal">
      <formula>"complete"</formula>
    </cfRule>
    <cfRule type="cellIs" dxfId="19" priority="30" operator="equal">
      <formula>"incomplete"</formula>
    </cfRule>
  </conditionalFormatting>
  <conditionalFormatting sqref="H51:H58">
    <cfRule type="cellIs" dxfId="18" priority="27" operator="equal">
      <formula>"Complete"</formula>
    </cfRule>
    <cfRule type="cellIs" dxfId="17" priority="28" operator="equal">
      <formula>"Incomplete"</formula>
    </cfRule>
  </conditionalFormatting>
  <conditionalFormatting sqref="I51:I58">
    <cfRule type="notContainsBlanks" dxfId="16" priority="26">
      <formula>LEN(TRIM(I51))&gt;0</formula>
    </cfRule>
  </conditionalFormatting>
  <conditionalFormatting sqref="E17">
    <cfRule type="containsText" dxfId="15" priority="22" operator="containsText" text="Please">
      <formula>NOT(ISERROR(SEARCH("Please",E17)))</formula>
    </cfRule>
    <cfRule type="containsText" dxfId="14" priority="23" operator="containsText" text="Please ">
      <formula>NOT(ISERROR(SEARCH("Please ",E17)))</formula>
    </cfRule>
  </conditionalFormatting>
  <conditionalFormatting sqref="E46 E60">
    <cfRule type="containsText" dxfId="13" priority="20" operator="containsText" text="Please">
      <formula>NOT(ISERROR(SEARCH("Please",E46)))</formula>
    </cfRule>
  </conditionalFormatting>
  <conditionalFormatting sqref="E47">
    <cfRule type="containsText" dxfId="12" priority="19" operator="containsText" text="Please">
      <formula>NOT(ISERROR(SEARCH("Please",E47)))</formula>
    </cfRule>
  </conditionalFormatting>
  <conditionalFormatting sqref="E61">
    <cfRule type="containsText" dxfId="11" priority="18" operator="containsText" text="Please">
      <formula>NOT(ISERROR(SEARCH("Please",E61)))</formula>
    </cfRule>
  </conditionalFormatting>
  <conditionalFormatting sqref="E16 E18">
    <cfRule type="containsText" dxfId="10" priority="16" operator="containsText" text="Please ">
      <formula>NOT(ISERROR(SEARCH("Please ",E16)))</formula>
    </cfRule>
  </conditionalFormatting>
  <conditionalFormatting sqref="I22">
    <cfRule type="containsText" dxfId="9" priority="14" operator="containsText" text="No">
      <formula>NOT(ISERROR(SEARCH("No",I22)))</formula>
    </cfRule>
    <cfRule type="containsText" dxfId="8" priority="15" operator="containsText" text="Yes">
      <formula>NOT(ISERROR(SEARCH("Yes",I22)))</formula>
    </cfRule>
  </conditionalFormatting>
  <conditionalFormatting sqref="I23">
    <cfRule type="notContainsBlanks" dxfId="7" priority="57">
      <formula>LEN(TRIM(I23))&gt;0</formula>
    </cfRule>
    <cfRule type="notContainsBlanks" priority="6">
      <formula>LEN(TRIM(I23))&gt;0</formula>
    </cfRule>
    <cfRule type="cellIs" dxfId="6" priority="13" operator="greaterThan">
      <formula>0</formula>
    </cfRule>
  </conditionalFormatting>
  <conditionalFormatting sqref="I24:I30">
    <cfRule type="containsText" dxfId="5" priority="10" operator="containsText" text="Yes">
      <formula>NOT(ISERROR(SEARCH("Yes",I24)))</formula>
    </cfRule>
    <cfRule type="containsText" dxfId="4" priority="11" operator="containsText" text="No">
      <formula>NOT(ISERROR(SEARCH("No",I24)))</formula>
    </cfRule>
  </conditionalFormatting>
  <conditionalFormatting sqref="F51:F58">
    <cfRule type="containsText" dxfId="3" priority="1" operator="containsText" text="No">
      <formula>NOT(ISERROR(SEARCH("No",F51)))</formula>
    </cfRule>
    <cfRule type="containsText" dxfId="2" priority="2" operator="containsText" text="Yes">
      <formula>NOT(ISERROR(SEARCH("Yes",F51)))</formula>
    </cfRule>
    <cfRule type="containsText" dxfId="1" priority="4" operator="containsText" text="No">
      <formula>NOT(ISERROR(SEARCH("No",F51)))</formula>
    </cfRule>
  </conditionalFormatting>
  <conditionalFormatting sqref="F51">
    <cfRule type="containsText" dxfId="0" priority="3" operator="containsText" text="Yes">
      <formula>NOT(ISERROR(SEARCH("Yes",F51)))</formula>
    </cfRule>
  </conditionalFormatting>
  <dataValidations count="3">
    <dataValidation type="list" allowBlank="1" showInputMessage="1" showErrorMessage="1" sqref="I39 I21 I31" xr:uid="{10B1E70D-D721-44BF-99B1-D28338C734F3}">
      <formula1>"yes, no"</formula1>
    </dataValidation>
    <dataValidation type="list" allowBlank="1" showInputMessage="1" showErrorMessage="1" sqref="I19" xr:uid="{B59FEA7E-765F-4519-AF2B-BEBDB3F39F4C}">
      <formula1>"0,1,2,3,4"</formula1>
    </dataValidation>
    <dataValidation type="list" allowBlank="1" showInputMessage="1" showErrorMessage="1" sqref="N11 N39 N29:N30 N20:N25 N35 O32" xr:uid="{76D2554F-AE73-4E3E-BBBF-D355CB8B87DC}">
      <formula1>"0,2"</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760527DF-85B9-49D5-9E9D-D0F815408363}">
          <x14:formula1>
            <xm:f>Picklists!$AJ$2:$AJ$5</xm:f>
          </x14:formula1>
          <xm:sqref>I23</xm:sqref>
        </x14:dataValidation>
        <x14:dataValidation type="list" allowBlank="1" showInputMessage="1" showErrorMessage="1" xr:uid="{3D0413A3-8A10-4086-95D8-4568523CB0E0}">
          <x14:formula1>
            <xm:f>Picklists!$AE$4:$AE$10</xm:f>
          </x14:formula1>
          <xm:sqref>I23</xm:sqref>
        </x14:dataValidation>
        <x14:dataValidation type="list" allowBlank="1" showInputMessage="1" showErrorMessage="1" xr:uid="{EF4E8DCF-5AA2-40CF-82E6-FCE15CA5618B}">
          <x14:formula1>
            <xm:f>Picklists!$AC$2:$AC$3</xm:f>
          </x14:formula1>
          <xm:sqref>I24:I30 I22 F51:F58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1E0CC-0749-44ED-970E-2AD5308EED85}">
  <sheetPr>
    <tabColor theme="1"/>
  </sheetPr>
  <dimension ref="A1:AW135"/>
  <sheetViews>
    <sheetView topLeftCell="L1" zoomScale="110" zoomScaleNormal="110" workbookViewId="0">
      <selection activeCell="U26" sqref="U26"/>
    </sheetView>
  </sheetViews>
  <sheetFormatPr defaultRowHeight="14.4" x14ac:dyDescent="0.3"/>
  <cols>
    <col min="3" max="3" width="18.6640625" customWidth="1"/>
    <col min="4" max="4" width="26.5546875" customWidth="1"/>
    <col min="6" max="6" width="10.109375" customWidth="1"/>
    <col min="8" max="8" width="10" customWidth="1"/>
    <col min="14" max="14" width="14.88671875" customWidth="1"/>
    <col min="15" max="16" width="18.5546875" customWidth="1"/>
    <col min="22" max="22" width="21.5546875" customWidth="1"/>
  </cols>
  <sheetData>
    <row r="1" spans="1:49" ht="43.2" x14ac:dyDescent="0.3">
      <c r="A1" s="7"/>
      <c r="B1" s="7" t="s">
        <v>4</v>
      </c>
      <c r="C1" s="7"/>
      <c r="D1" s="7" t="s">
        <v>190</v>
      </c>
      <c r="E1" s="7"/>
      <c r="F1" s="7"/>
      <c r="G1" s="7"/>
      <c r="H1" s="30" t="s">
        <v>191</v>
      </c>
      <c r="I1" s="30" t="s">
        <v>192</v>
      </c>
      <c r="J1" s="30"/>
      <c r="K1" s="30"/>
      <c r="L1" s="7" t="s">
        <v>193</v>
      </c>
      <c r="M1" s="7"/>
      <c r="N1" s="7" t="s">
        <v>193</v>
      </c>
      <c r="O1" s="7"/>
      <c r="P1" s="7"/>
      <c r="Q1" s="7"/>
      <c r="R1" s="7"/>
      <c r="S1" s="7"/>
      <c r="T1" s="7" t="s">
        <v>194</v>
      </c>
      <c r="U1" s="7"/>
      <c r="V1" s="7" t="s">
        <v>193</v>
      </c>
      <c r="W1" s="7"/>
      <c r="X1" s="7"/>
      <c r="Y1" s="7"/>
      <c r="Z1" s="7"/>
      <c r="AA1" s="7" t="s">
        <v>195</v>
      </c>
      <c r="AB1" s="7"/>
      <c r="AC1" s="7"/>
      <c r="AD1" s="7" t="s">
        <v>196</v>
      </c>
      <c r="AE1" s="7"/>
      <c r="AF1" s="7"/>
      <c r="AG1" s="7"/>
      <c r="AH1" s="7" t="s">
        <v>197</v>
      </c>
      <c r="AI1" s="7" t="s">
        <v>198</v>
      </c>
      <c r="AJ1" s="65" t="s">
        <v>199</v>
      </c>
      <c r="AK1" s="65" t="s">
        <v>200</v>
      </c>
      <c r="AL1" s="7"/>
    </row>
    <row r="2" spans="1:49" ht="50.25" customHeight="1" x14ac:dyDescent="0.3">
      <c r="B2" s="12" t="s">
        <v>201</v>
      </c>
      <c r="C2" s="12" t="s">
        <v>202</v>
      </c>
      <c r="D2" s="12" t="s">
        <v>203</v>
      </c>
      <c r="E2" s="12" t="s">
        <v>204</v>
      </c>
      <c r="F2" s="12" t="s">
        <v>205</v>
      </c>
      <c r="G2" s="12" t="s">
        <v>101</v>
      </c>
      <c r="H2" s="12" t="s">
        <v>206</v>
      </c>
      <c r="I2" s="12" t="s">
        <v>207</v>
      </c>
      <c r="J2" s="12"/>
      <c r="K2" s="25"/>
      <c r="L2" s="12"/>
      <c r="M2" s="12"/>
      <c r="N2" s="12" t="s">
        <v>208</v>
      </c>
      <c r="O2" s="12"/>
      <c r="P2" s="12"/>
      <c r="Q2" s="12"/>
      <c r="R2" s="12"/>
      <c r="S2" s="12"/>
      <c r="T2" s="12"/>
      <c r="U2" s="12"/>
      <c r="V2" s="12" t="s">
        <v>209</v>
      </c>
      <c r="W2" s="12"/>
      <c r="X2" s="12"/>
      <c r="Y2" s="12"/>
      <c r="Z2" s="12"/>
      <c r="AA2" s="12" t="s">
        <v>210</v>
      </c>
      <c r="AB2" s="12"/>
      <c r="AC2" s="12" t="s">
        <v>210</v>
      </c>
      <c r="AD2" s="12" t="s">
        <v>211</v>
      </c>
      <c r="AE2" s="12"/>
      <c r="AF2" s="12" t="s">
        <v>210</v>
      </c>
      <c r="AG2" s="12" t="s">
        <v>212</v>
      </c>
      <c r="AH2" s="12" t="s">
        <v>210</v>
      </c>
      <c r="AI2" s="12" t="s">
        <v>213</v>
      </c>
      <c r="AJ2" s="12">
        <v>0</v>
      </c>
      <c r="AK2" s="12" t="s">
        <v>214</v>
      </c>
      <c r="AL2" s="12"/>
      <c r="AM2" s="12"/>
      <c r="AN2" s="12"/>
      <c r="AO2" s="12"/>
      <c r="AP2" s="12"/>
      <c r="AQ2" s="12"/>
      <c r="AR2" s="12"/>
      <c r="AS2" s="12"/>
      <c r="AT2" s="12"/>
      <c r="AU2" s="12"/>
      <c r="AV2" s="12"/>
      <c r="AW2" s="12"/>
    </row>
    <row r="3" spans="1:49" ht="28.8" x14ac:dyDescent="0.3">
      <c r="B3" t="s">
        <v>210</v>
      </c>
      <c r="C3" s="12" t="s">
        <v>215</v>
      </c>
      <c r="D3" s="2" t="s">
        <v>216</v>
      </c>
      <c r="E3" s="3" t="s">
        <v>217</v>
      </c>
      <c r="F3">
        <v>50</v>
      </c>
      <c r="G3" t="s">
        <v>218</v>
      </c>
      <c r="H3" t="s">
        <v>219</v>
      </c>
      <c r="I3" t="s">
        <v>212</v>
      </c>
      <c r="K3" s="8"/>
      <c r="L3" t="s">
        <v>220</v>
      </c>
      <c r="N3" t="s">
        <v>221</v>
      </c>
      <c r="O3" t="s">
        <v>222</v>
      </c>
      <c r="P3" t="s">
        <v>223</v>
      </c>
      <c r="Q3" t="s">
        <v>224</v>
      </c>
      <c r="R3" t="s">
        <v>225</v>
      </c>
      <c r="S3" t="s">
        <v>226</v>
      </c>
      <c r="T3" t="s">
        <v>227</v>
      </c>
      <c r="V3" t="s">
        <v>203</v>
      </c>
      <c r="W3" t="s">
        <v>228</v>
      </c>
      <c r="Y3" t="s">
        <v>229</v>
      </c>
      <c r="AA3" t="s">
        <v>212</v>
      </c>
      <c r="AC3" t="s">
        <v>212</v>
      </c>
      <c r="AD3" t="s">
        <v>230</v>
      </c>
      <c r="AF3" t="s">
        <v>212</v>
      </c>
      <c r="AG3" t="s">
        <v>231</v>
      </c>
      <c r="AH3" t="s">
        <v>212</v>
      </c>
      <c r="AI3" t="s">
        <v>232</v>
      </c>
      <c r="AJ3">
        <v>1</v>
      </c>
      <c r="AK3" t="s">
        <v>233</v>
      </c>
    </row>
    <row r="4" spans="1:49" x14ac:dyDescent="0.3">
      <c r="B4" t="s">
        <v>212</v>
      </c>
      <c r="D4" s="14" t="s">
        <v>234</v>
      </c>
      <c r="E4" s="16" t="s">
        <v>235</v>
      </c>
      <c r="F4">
        <v>1000</v>
      </c>
      <c r="G4" t="s">
        <v>236</v>
      </c>
      <c r="H4" t="s">
        <v>237</v>
      </c>
      <c r="I4" t="s">
        <v>212</v>
      </c>
      <c r="K4" s="8"/>
      <c r="N4" t="s">
        <v>238</v>
      </c>
      <c r="O4" t="s">
        <v>239</v>
      </c>
      <c r="P4" t="s">
        <v>240</v>
      </c>
      <c r="Q4" t="s">
        <v>241</v>
      </c>
      <c r="R4" t="s">
        <v>242</v>
      </c>
      <c r="S4" t="s">
        <v>243</v>
      </c>
      <c r="T4" t="s">
        <v>244</v>
      </c>
      <c r="V4" t="s">
        <v>245</v>
      </c>
      <c r="Y4">
        <v>1</v>
      </c>
      <c r="AE4">
        <v>0</v>
      </c>
      <c r="AF4" t="s">
        <v>210</v>
      </c>
      <c r="AH4" t="s">
        <v>231</v>
      </c>
      <c r="AI4" t="s">
        <v>246</v>
      </c>
      <c r="AJ4">
        <v>2</v>
      </c>
      <c r="AK4" t="s">
        <v>231</v>
      </c>
    </row>
    <row r="5" spans="1:49" x14ac:dyDescent="0.3">
      <c r="D5" s="2" t="s">
        <v>247</v>
      </c>
      <c r="E5" s="3" t="s">
        <v>11</v>
      </c>
      <c r="H5" t="s">
        <v>248</v>
      </c>
      <c r="I5" t="s">
        <v>212</v>
      </c>
      <c r="K5" s="8"/>
      <c r="N5" t="s">
        <v>249</v>
      </c>
      <c r="O5" t="s">
        <v>250</v>
      </c>
      <c r="P5" t="s">
        <v>251</v>
      </c>
      <c r="R5" t="s">
        <v>252</v>
      </c>
      <c r="Y5">
        <v>2</v>
      </c>
      <c r="AE5">
        <v>1</v>
      </c>
      <c r="AI5" t="s">
        <v>253</v>
      </c>
      <c r="AJ5" t="s">
        <v>17</v>
      </c>
    </row>
    <row r="6" spans="1:49" x14ac:dyDescent="0.3">
      <c r="D6" s="2" t="s">
        <v>254</v>
      </c>
      <c r="E6" s="3" t="s">
        <v>11</v>
      </c>
      <c r="F6">
        <v>20</v>
      </c>
      <c r="G6" t="s">
        <v>218</v>
      </c>
      <c r="I6" t="s">
        <v>212</v>
      </c>
      <c r="K6" s="8"/>
      <c r="N6" t="s">
        <v>255</v>
      </c>
      <c r="O6" t="s">
        <v>256</v>
      </c>
      <c r="P6" t="s">
        <v>257</v>
      </c>
      <c r="R6" t="s">
        <v>258</v>
      </c>
      <c r="Y6">
        <v>3</v>
      </c>
      <c r="AE6">
        <v>2</v>
      </c>
    </row>
    <row r="7" spans="1:49" x14ac:dyDescent="0.3">
      <c r="D7" s="2" t="s">
        <v>259</v>
      </c>
      <c r="E7" s="3" t="s">
        <v>217</v>
      </c>
      <c r="H7" t="s">
        <v>237</v>
      </c>
      <c r="I7" t="s">
        <v>212</v>
      </c>
      <c r="K7" s="8"/>
      <c r="N7" t="s">
        <v>260</v>
      </c>
      <c r="O7" t="s">
        <v>261</v>
      </c>
      <c r="P7" t="s">
        <v>262</v>
      </c>
      <c r="Y7">
        <v>4</v>
      </c>
      <c r="AE7">
        <v>3</v>
      </c>
    </row>
    <row r="8" spans="1:49" x14ac:dyDescent="0.3">
      <c r="D8" s="24" t="s">
        <v>263</v>
      </c>
      <c r="E8" s="3" t="s">
        <v>217</v>
      </c>
      <c r="H8" t="s">
        <v>237</v>
      </c>
      <c r="I8" t="s">
        <v>212</v>
      </c>
      <c r="K8" s="8"/>
      <c r="N8" t="s">
        <v>264</v>
      </c>
      <c r="O8" t="s">
        <v>265</v>
      </c>
      <c r="P8" t="s">
        <v>266</v>
      </c>
      <c r="Y8">
        <v>5</v>
      </c>
      <c r="AE8">
        <v>4</v>
      </c>
    </row>
    <row r="9" spans="1:49" x14ac:dyDescent="0.3">
      <c r="D9" s="24" t="s">
        <v>267</v>
      </c>
      <c r="E9" s="3" t="s">
        <v>217</v>
      </c>
      <c r="H9" t="s">
        <v>237</v>
      </c>
      <c r="I9" t="s">
        <v>212</v>
      </c>
      <c r="K9" s="8"/>
      <c r="N9" t="s">
        <v>268</v>
      </c>
      <c r="O9" t="s">
        <v>269</v>
      </c>
      <c r="P9" t="s">
        <v>270</v>
      </c>
      <c r="Y9">
        <v>6</v>
      </c>
      <c r="AE9">
        <v>5</v>
      </c>
    </row>
    <row r="10" spans="1:49" x14ac:dyDescent="0.3">
      <c r="D10" s="24" t="s">
        <v>271</v>
      </c>
      <c r="E10" s="3" t="s">
        <v>11</v>
      </c>
      <c r="I10" t="s">
        <v>212</v>
      </c>
      <c r="K10" s="8"/>
      <c r="N10" t="s">
        <v>272</v>
      </c>
      <c r="O10" t="s">
        <v>273</v>
      </c>
      <c r="AE10" t="s">
        <v>274</v>
      </c>
    </row>
    <row r="11" spans="1:49" ht="15" thickBot="1" x14ac:dyDescent="0.35">
      <c r="D11" s="27" t="s">
        <v>275</v>
      </c>
      <c r="E11" s="17" t="s">
        <v>11</v>
      </c>
      <c r="I11" t="s">
        <v>212</v>
      </c>
      <c r="K11" s="8"/>
      <c r="N11" t="s">
        <v>276</v>
      </c>
      <c r="O11" t="s">
        <v>277</v>
      </c>
    </row>
    <row r="12" spans="1:49" x14ac:dyDescent="0.3">
      <c r="D12" s="14" t="s">
        <v>278</v>
      </c>
      <c r="E12" s="16" t="s">
        <v>217</v>
      </c>
      <c r="H12" t="s">
        <v>248</v>
      </c>
      <c r="I12" t="s">
        <v>212</v>
      </c>
      <c r="K12" s="8"/>
      <c r="N12" t="s">
        <v>279</v>
      </c>
      <c r="O12" t="s">
        <v>280</v>
      </c>
    </row>
    <row r="13" spans="1:49" x14ac:dyDescent="0.3">
      <c r="D13" s="2" t="s">
        <v>281</v>
      </c>
      <c r="E13" s="3" t="s">
        <v>11</v>
      </c>
      <c r="H13" t="s">
        <v>248</v>
      </c>
      <c r="I13" t="s">
        <v>212</v>
      </c>
      <c r="K13" s="8"/>
      <c r="N13" t="s">
        <v>282</v>
      </c>
      <c r="O13" t="s">
        <v>283</v>
      </c>
    </row>
    <row r="14" spans="1:49" x14ac:dyDescent="0.3">
      <c r="D14" s="2" t="s">
        <v>284</v>
      </c>
      <c r="E14" s="3" t="s">
        <v>217</v>
      </c>
      <c r="F14">
        <v>20</v>
      </c>
      <c r="G14" t="s">
        <v>285</v>
      </c>
      <c r="H14" t="s">
        <v>286</v>
      </c>
      <c r="I14" t="s">
        <v>212</v>
      </c>
      <c r="K14" s="8"/>
      <c r="N14" t="s">
        <v>287</v>
      </c>
      <c r="O14" t="s">
        <v>288</v>
      </c>
    </row>
    <row r="15" spans="1:49" ht="15" thickBot="1" x14ac:dyDescent="0.35">
      <c r="D15" s="27" t="s">
        <v>289</v>
      </c>
      <c r="E15" s="17" t="s">
        <v>235</v>
      </c>
      <c r="F15" s="13">
        <v>500000</v>
      </c>
      <c r="G15" t="s">
        <v>236</v>
      </c>
      <c r="H15" t="s">
        <v>248</v>
      </c>
      <c r="I15" t="s">
        <v>212</v>
      </c>
      <c r="K15" s="8"/>
      <c r="N15" t="s">
        <v>290</v>
      </c>
      <c r="O15" t="s">
        <v>291</v>
      </c>
    </row>
    <row r="16" spans="1:49" x14ac:dyDescent="0.3">
      <c r="D16" s="14" t="s">
        <v>292</v>
      </c>
      <c r="E16" s="16" t="s">
        <v>217</v>
      </c>
      <c r="H16" t="s">
        <v>293</v>
      </c>
      <c r="I16" t="s">
        <v>212</v>
      </c>
      <c r="K16" s="8"/>
      <c r="N16" t="s">
        <v>294</v>
      </c>
      <c r="O16" t="s">
        <v>295</v>
      </c>
    </row>
    <row r="17" spans="4:15" x14ac:dyDescent="0.3">
      <c r="D17" s="21" t="s">
        <v>296</v>
      </c>
      <c r="E17" s="3" t="s">
        <v>297</v>
      </c>
      <c r="F17">
        <v>4</v>
      </c>
      <c r="G17" t="s">
        <v>298</v>
      </c>
      <c r="H17" t="s">
        <v>293</v>
      </c>
      <c r="I17" t="s">
        <v>212</v>
      </c>
      <c r="K17" s="8"/>
      <c r="N17" t="s">
        <v>299</v>
      </c>
      <c r="O17" t="s">
        <v>300</v>
      </c>
    </row>
    <row r="18" spans="4:15" x14ac:dyDescent="0.3">
      <c r="D18" s="2" t="s">
        <v>301</v>
      </c>
      <c r="E18" s="3" t="s">
        <v>297</v>
      </c>
      <c r="F18">
        <v>20</v>
      </c>
      <c r="G18" t="s">
        <v>298</v>
      </c>
      <c r="H18" t="s">
        <v>293</v>
      </c>
      <c r="I18" t="s">
        <v>212</v>
      </c>
      <c r="K18" s="8"/>
      <c r="N18" t="s">
        <v>302</v>
      </c>
      <c r="O18" t="s">
        <v>303</v>
      </c>
    </row>
    <row r="19" spans="4:15" ht="15" thickBot="1" x14ac:dyDescent="0.35">
      <c r="D19" s="27" t="s">
        <v>304</v>
      </c>
      <c r="E19" s="17" t="s">
        <v>235</v>
      </c>
      <c r="H19" t="s">
        <v>293</v>
      </c>
      <c r="I19" t="s">
        <v>212</v>
      </c>
      <c r="K19" s="8"/>
      <c r="N19" t="s">
        <v>305</v>
      </c>
      <c r="O19" t="s">
        <v>306</v>
      </c>
    </row>
    <row r="20" spans="4:15" ht="15" thickBot="1" x14ac:dyDescent="0.35">
      <c r="D20" s="18" t="s">
        <v>307</v>
      </c>
      <c r="E20" s="19" t="s">
        <v>235</v>
      </c>
      <c r="F20">
        <v>30</v>
      </c>
      <c r="G20" t="s">
        <v>308</v>
      </c>
      <c r="H20" t="s">
        <v>309</v>
      </c>
      <c r="I20" t="s">
        <v>212</v>
      </c>
      <c r="K20" s="8"/>
      <c r="N20" t="s">
        <v>310</v>
      </c>
      <c r="O20" t="s">
        <v>311</v>
      </c>
    </row>
    <row r="21" spans="4:15" x14ac:dyDescent="0.3">
      <c r="D21" s="20" t="s">
        <v>312</v>
      </c>
      <c r="E21" s="16" t="s">
        <v>217</v>
      </c>
      <c r="F21">
        <v>500</v>
      </c>
      <c r="G21" t="s">
        <v>298</v>
      </c>
      <c r="H21" t="s">
        <v>313</v>
      </c>
      <c r="I21" t="s">
        <v>212</v>
      </c>
      <c r="K21" s="8"/>
      <c r="N21" t="s">
        <v>314</v>
      </c>
      <c r="O21" t="s">
        <v>315</v>
      </c>
    </row>
    <row r="22" spans="4:15" x14ac:dyDescent="0.3">
      <c r="D22" s="14" t="s">
        <v>316</v>
      </c>
      <c r="E22" s="4" t="s">
        <v>217</v>
      </c>
      <c r="F22">
        <v>50</v>
      </c>
      <c r="G22" t="s">
        <v>298</v>
      </c>
      <c r="H22" t="s">
        <v>313</v>
      </c>
      <c r="I22" t="s">
        <v>212</v>
      </c>
      <c r="K22" s="8"/>
      <c r="N22" t="s">
        <v>317</v>
      </c>
      <c r="O22" t="s">
        <v>318</v>
      </c>
    </row>
    <row r="23" spans="4:15" ht="15" thickBot="1" x14ac:dyDescent="0.35">
      <c r="D23" s="15" t="s">
        <v>319</v>
      </c>
      <c r="E23" s="17" t="s">
        <v>217</v>
      </c>
      <c r="F23">
        <v>500</v>
      </c>
      <c r="G23" t="s">
        <v>298</v>
      </c>
      <c r="H23" t="s">
        <v>313</v>
      </c>
      <c r="I23" t="s">
        <v>212</v>
      </c>
      <c r="K23" s="8"/>
      <c r="N23" t="s">
        <v>320</v>
      </c>
      <c r="O23" t="s">
        <v>321</v>
      </c>
    </row>
    <row r="24" spans="4:15" x14ac:dyDescent="0.3">
      <c r="D24" s="14" t="s">
        <v>322</v>
      </c>
      <c r="E24" s="16" t="s">
        <v>235</v>
      </c>
      <c r="I24" t="s">
        <v>212</v>
      </c>
      <c r="K24" s="8"/>
      <c r="O24" t="s">
        <v>323</v>
      </c>
    </row>
    <row r="25" spans="4:15" ht="15" thickBot="1" x14ac:dyDescent="0.35">
      <c r="D25" s="27" t="s">
        <v>324</v>
      </c>
      <c r="E25" s="17" t="s">
        <v>235</v>
      </c>
      <c r="I25" t="s">
        <v>212</v>
      </c>
      <c r="K25" s="8"/>
      <c r="O25" t="s">
        <v>325</v>
      </c>
    </row>
    <row r="26" spans="4:15" ht="15" thickBot="1" x14ac:dyDescent="0.35">
      <c r="D26" s="18" t="s">
        <v>326</v>
      </c>
      <c r="E26" s="19" t="s">
        <v>235</v>
      </c>
      <c r="F26">
        <v>20</v>
      </c>
      <c r="G26" t="s">
        <v>298</v>
      </c>
      <c r="H26" t="s">
        <v>327</v>
      </c>
      <c r="I26" t="s">
        <v>212</v>
      </c>
      <c r="K26" s="8"/>
      <c r="O26" t="s">
        <v>328</v>
      </c>
    </row>
    <row r="27" spans="4:15" ht="15" thickBot="1" x14ac:dyDescent="0.35">
      <c r="D27" s="18" t="s">
        <v>329</v>
      </c>
      <c r="E27" s="19" t="s">
        <v>235</v>
      </c>
      <c r="F27">
        <v>20</v>
      </c>
      <c r="G27" t="s">
        <v>298</v>
      </c>
      <c r="H27" t="s">
        <v>327</v>
      </c>
      <c r="I27" t="s">
        <v>212</v>
      </c>
      <c r="K27" s="8"/>
      <c r="O27" t="s">
        <v>330</v>
      </c>
    </row>
    <row r="28" spans="4:15" ht="15" thickBot="1" x14ac:dyDescent="0.35">
      <c r="D28" s="18" t="s">
        <v>331</v>
      </c>
      <c r="E28" s="19" t="s">
        <v>235</v>
      </c>
      <c r="F28">
        <v>75</v>
      </c>
      <c r="G28" t="s">
        <v>298</v>
      </c>
      <c r="H28" t="s">
        <v>332</v>
      </c>
      <c r="I28" t="s">
        <v>212</v>
      </c>
      <c r="K28" s="8"/>
      <c r="O28" t="s">
        <v>333</v>
      </c>
    </row>
    <row r="29" spans="4:15" x14ac:dyDescent="0.3">
      <c r="D29" s="14" t="s">
        <v>334</v>
      </c>
      <c r="E29" s="16" t="s">
        <v>297</v>
      </c>
      <c r="H29" t="s">
        <v>335</v>
      </c>
      <c r="I29" t="s">
        <v>212</v>
      </c>
      <c r="K29" s="8"/>
      <c r="O29" t="s">
        <v>336</v>
      </c>
    </row>
    <row r="30" spans="4:15" x14ac:dyDescent="0.3">
      <c r="D30" s="2" t="s">
        <v>337</v>
      </c>
      <c r="E30" s="3" t="s">
        <v>297</v>
      </c>
      <c r="H30" t="s">
        <v>335</v>
      </c>
      <c r="I30" t="s">
        <v>212</v>
      </c>
      <c r="K30" s="8"/>
      <c r="O30" t="s">
        <v>338</v>
      </c>
    </row>
    <row r="31" spans="4:15" x14ac:dyDescent="0.3">
      <c r="D31" s="2" t="s">
        <v>339</v>
      </c>
      <c r="E31" s="3" t="s">
        <v>297</v>
      </c>
      <c r="H31" t="s">
        <v>335</v>
      </c>
      <c r="I31" t="s">
        <v>212</v>
      </c>
      <c r="K31" s="8"/>
      <c r="O31" t="s">
        <v>340</v>
      </c>
    </row>
    <row r="32" spans="4:15" x14ac:dyDescent="0.3">
      <c r="D32" s="2" t="s">
        <v>341</v>
      </c>
      <c r="E32" s="3" t="s">
        <v>217</v>
      </c>
      <c r="H32" t="s">
        <v>335</v>
      </c>
      <c r="I32" t="s">
        <v>212</v>
      </c>
      <c r="K32" s="8"/>
      <c r="O32" t="s">
        <v>342</v>
      </c>
    </row>
    <row r="33" spans="4:15" x14ac:dyDescent="0.3">
      <c r="D33" s="2" t="s">
        <v>343</v>
      </c>
      <c r="E33" s="3" t="s">
        <v>297</v>
      </c>
      <c r="H33" t="s">
        <v>335</v>
      </c>
      <c r="I33" t="s">
        <v>212</v>
      </c>
      <c r="K33" s="8"/>
      <c r="O33" t="s">
        <v>344</v>
      </c>
    </row>
    <row r="34" spans="4:15" x14ac:dyDescent="0.3">
      <c r="D34" s="2" t="s">
        <v>345</v>
      </c>
      <c r="E34" s="3" t="s">
        <v>217</v>
      </c>
      <c r="H34" t="s">
        <v>335</v>
      </c>
      <c r="I34" t="s">
        <v>212</v>
      </c>
      <c r="K34" s="8"/>
      <c r="O34" t="s">
        <v>346</v>
      </c>
    </row>
    <row r="35" spans="4:15" x14ac:dyDescent="0.3">
      <c r="D35" s="2" t="s">
        <v>347</v>
      </c>
      <c r="E35" s="3" t="s">
        <v>297</v>
      </c>
      <c r="H35" t="s">
        <v>335</v>
      </c>
      <c r="I35" t="s">
        <v>212</v>
      </c>
      <c r="K35" s="8"/>
      <c r="O35" t="s">
        <v>348</v>
      </c>
    </row>
    <row r="36" spans="4:15" x14ac:dyDescent="0.3">
      <c r="D36" s="2" t="s">
        <v>349</v>
      </c>
      <c r="E36" s="3" t="s">
        <v>217</v>
      </c>
      <c r="H36" t="s">
        <v>350</v>
      </c>
      <c r="I36" t="s">
        <v>212</v>
      </c>
      <c r="K36" s="8"/>
      <c r="O36" t="s">
        <v>351</v>
      </c>
    </row>
    <row r="37" spans="4:15" x14ac:dyDescent="0.3">
      <c r="D37" s="2" t="s">
        <v>352</v>
      </c>
      <c r="E37" s="3" t="s">
        <v>297</v>
      </c>
      <c r="H37" t="s">
        <v>350</v>
      </c>
      <c r="I37" t="s">
        <v>212</v>
      </c>
      <c r="K37" s="8"/>
      <c r="O37" t="s">
        <v>353</v>
      </c>
    </row>
    <row r="38" spans="4:15" x14ac:dyDescent="0.3">
      <c r="D38" s="2" t="s">
        <v>354</v>
      </c>
      <c r="E38" s="3" t="s">
        <v>217</v>
      </c>
      <c r="H38" t="s">
        <v>350</v>
      </c>
      <c r="I38" t="s">
        <v>212</v>
      </c>
      <c r="K38" s="8"/>
      <c r="O38" t="s">
        <v>355</v>
      </c>
    </row>
    <row r="39" spans="4:15" ht="15" thickBot="1" x14ac:dyDescent="0.35">
      <c r="D39" s="15" t="s">
        <v>356</v>
      </c>
      <c r="E39" s="17" t="s">
        <v>217</v>
      </c>
      <c r="H39" t="s">
        <v>335</v>
      </c>
      <c r="I39" t="s">
        <v>212</v>
      </c>
      <c r="K39" s="8"/>
      <c r="O39" t="s">
        <v>357</v>
      </c>
    </row>
    <row r="40" spans="4:15" x14ac:dyDescent="0.3">
      <c r="D40" s="14" t="s">
        <v>358</v>
      </c>
      <c r="E40" s="16" t="s">
        <v>217</v>
      </c>
      <c r="H40" t="s">
        <v>359</v>
      </c>
      <c r="I40" t="s">
        <v>212</v>
      </c>
      <c r="K40" s="8"/>
      <c r="O40" t="s">
        <v>360</v>
      </c>
    </row>
    <row r="41" spans="4:15" x14ac:dyDescent="0.3">
      <c r="D41" s="2" t="s">
        <v>361</v>
      </c>
      <c r="E41" s="3" t="s">
        <v>217</v>
      </c>
      <c r="H41" t="s">
        <v>359</v>
      </c>
      <c r="I41" t="s">
        <v>212</v>
      </c>
      <c r="K41" s="8"/>
      <c r="O41" t="s">
        <v>362</v>
      </c>
    </row>
    <row r="42" spans="4:15" x14ac:dyDescent="0.3">
      <c r="D42" s="2" t="s">
        <v>363</v>
      </c>
      <c r="E42" s="3" t="s">
        <v>217</v>
      </c>
      <c r="H42" t="s">
        <v>359</v>
      </c>
      <c r="I42" t="s">
        <v>212</v>
      </c>
      <c r="K42" s="8"/>
      <c r="O42" t="s">
        <v>364</v>
      </c>
    </row>
    <row r="43" spans="4:15" x14ac:dyDescent="0.3">
      <c r="D43" s="2" t="s">
        <v>365</v>
      </c>
      <c r="E43" s="3" t="s">
        <v>217</v>
      </c>
      <c r="H43" t="s">
        <v>359</v>
      </c>
      <c r="I43" t="s">
        <v>212</v>
      </c>
      <c r="K43" s="8"/>
      <c r="O43" t="s">
        <v>366</v>
      </c>
    </row>
    <row r="44" spans="4:15" x14ac:dyDescent="0.3">
      <c r="D44" s="2" t="s">
        <v>367</v>
      </c>
      <c r="E44" s="3" t="s">
        <v>217</v>
      </c>
      <c r="H44" t="s">
        <v>359</v>
      </c>
      <c r="I44" t="s">
        <v>212</v>
      </c>
      <c r="K44" s="8"/>
      <c r="O44" t="s">
        <v>368</v>
      </c>
    </row>
    <row r="45" spans="4:15" x14ac:dyDescent="0.3">
      <c r="D45" s="24" t="s">
        <v>369</v>
      </c>
      <c r="E45" s="3" t="s">
        <v>217</v>
      </c>
      <c r="H45" t="s">
        <v>359</v>
      </c>
      <c r="I45" t="s">
        <v>212</v>
      </c>
      <c r="K45" s="8"/>
      <c r="O45" t="s">
        <v>370</v>
      </c>
    </row>
    <row r="46" spans="4:15" x14ac:dyDescent="0.3">
      <c r="D46" s="24" t="s">
        <v>371</v>
      </c>
      <c r="E46" s="3" t="s">
        <v>235</v>
      </c>
      <c r="H46" t="s">
        <v>359</v>
      </c>
      <c r="I46" t="s">
        <v>212</v>
      </c>
      <c r="K46" s="8"/>
      <c r="O46" t="s">
        <v>372</v>
      </c>
    </row>
    <row r="47" spans="4:15" x14ac:dyDescent="0.3">
      <c r="D47" s="24" t="s">
        <v>373</v>
      </c>
      <c r="E47" s="3" t="s">
        <v>235</v>
      </c>
      <c r="H47" t="s">
        <v>359</v>
      </c>
      <c r="I47" t="s">
        <v>212</v>
      </c>
      <c r="K47" s="8"/>
      <c r="O47" t="s">
        <v>374</v>
      </c>
    </row>
    <row r="48" spans="4:15" x14ac:dyDescent="0.3">
      <c r="D48" s="24" t="s">
        <v>375</v>
      </c>
      <c r="E48" s="3" t="s">
        <v>235</v>
      </c>
      <c r="H48" t="s">
        <v>359</v>
      </c>
      <c r="I48" t="s">
        <v>212</v>
      </c>
      <c r="K48" s="8"/>
      <c r="O48" t="s">
        <v>376</v>
      </c>
    </row>
    <row r="49" spans="4:15" x14ac:dyDescent="0.3">
      <c r="D49" s="24" t="s">
        <v>377</v>
      </c>
      <c r="E49" s="3" t="s">
        <v>235</v>
      </c>
      <c r="H49" t="s">
        <v>359</v>
      </c>
      <c r="I49" t="s">
        <v>212</v>
      </c>
      <c r="K49" s="8"/>
      <c r="O49" t="s">
        <v>378</v>
      </c>
    </row>
    <row r="50" spans="4:15" ht="15" thickBot="1" x14ac:dyDescent="0.35">
      <c r="D50" s="27" t="s">
        <v>379</v>
      </c>
      <c r="E50" s="17" t="s">
        <v>235</v>
      </c>
      <c r="H50" t="s">
        <v>359</v>
      </c>
      <c r="I50" t="s">
        <v>212</v>
      </c>
      <c r="K50" s="8"/>
      <c r="O50" t="s">
        <v>380</v>
      </c>
    </row>
    <row r="51" spans="4:15" x14ac:dyDescent="0.3">
      <c r="D51" s="14" t="s">
        <v>381</v>
      </c>
      <c r="E51" s="4" t="s">
        <v>217</v>
      </c>
      <c r="H51" t="s">
        <v>382</v>
      </c>
      <c r="I51" t="s">
        <v>212</v>
      </c>
      <c r="K51" s="8"/>
      <c r="O51" t="s">
        <v>383</v>
      </c>
    </row>
    <row r="52" spans="4:15" x14ac:dyDescent="0.3">
      <c r="D52" s="14" t="s">
        <v>384</v>
      </c>
      <c r="E52" s="16" t="s">
        <v>217</v>
      </c>
      <c r="H52" t="s">
        <v>385</v>
      </c>
      <c r="I52" t="s">
        <v>212</v>
      </c>
      <c r="K52" s="8"/>
      <c r="O52" t="s">
        <v>386</v>
      </c>
    </row>
    <row r="53" spans="4:15" x14ac:dyDescent="0.3">
      <c r="D53" s="14" t="s">
        <v>387</v>
      </c>
      <c r="E53" s="16" t="s">
        <v>217</v>
      </c>
      <c r="H53" t="s">
        <v>385</v>
      </c>
      <c r="I53" t="s">
        <v>212</v>
      </c>
      <c r="K53" s="8"/>
      <c r="O53" t="s">
        <v>388</v>
      </c>
    </row>
    <row r="54" spans="4:15" ht="15" thickBot="1" x14ac:dyDescent="0.35">
      <c r="D54" s="14" t="s">
        <v>389</v>
      </c>
      <c r="E54" s="16" t="s">
        <v>217</v>
      </c>
      <c r="I54" t="s">
        <v>212</v>
      </c>
      <c r="K54" s="8"/>
      <c r="O54" t="s">
        <v>390</v>
      </c>
    </row>
    <row r="55" spans="4:15" ht="15" thickBot="1" x14ac:dyDescent="0.35">
      <c r="D55" s="28" t="s">
        <v>391</v>
      </c>
      <c r="E55" s="19" t="s">
        <v>235</v>
      </c>
      <c r="I55" t="s">
        <v>212</v>
      </c>
      <c r="K55" s="8"/>
      <c r="O55" t="s">
        <v>392</v>
      </c>
    </row>
    <row r="56" spans="4:15" x14ac:dyDescent="0.3">
      <c r="D56" s="14" t="s">
        <v>393</v>
      </c>
      <c r="E56" s="16" t="s">
        <v>11</v>
      </c>
      <c r="F56">
        <v>10</v>
      </c>
      <c r="G56" t="s">
        <v>298</v>
      </c>
      <c r="H56" t="s">
        <v>394</v>
      </c>
      <c r="I56" t="s">
        <v>212</v>
      </c>
      <c r="K56" s="8"/>
      <c r="O56" t="s">
        <v>395</v>
      </c>
    </row>
    <row r="57" spans="4:15" x14ac:dyDescent="0.3">
      <c r="D57" s="2" t="s">
        <v>396</v>
      </c>
      <c r="E57" s="3" t="s">
        <v>11</v>
      </c>
      <c r="F57">
        <v>3</v>
      </c>
      <c r="G57" t="s">
        <v>285</v>
      </c>
      <c r="H57" t="s">
        <v>394</v>
      </c>
      <c r="I57" t="s">
        <v>212</v>
      </c>
      <c r="K57" s="8"/>
      <c r="O57" t="s">
        <v>397</v>
      </c>
    </row>
    <row r="58" spans="4:15" ht="15" thickBot="1" x14ac:dyDescent="0.35">
      <c r="D58" s="27" t="s">
        <v>398</v>
      </c>
      <c r="E58" s="17" t="s">
        <v>217</v>
      </c>
      <c r="H58" t="s">
        <v>394</v>
      </c>
      <c r="I58" t="s">
        <v>212</v>
      </c>
      <c r="K58" s="8"/>
      <c r="O58" t="s">
        <v>399</v>
      </c>
    </row>
    <row r="59" spans="4:15" x14ac:dyDescent="0.3">
      <c r="D59" s="14" t="s">
        <v>400</v>
      </c>
      <c r="E59" s="16" t="s">
        <v>217</v>
      </c>
      <c r="F59">
        <v>10</v>
      </c>
      <c r="G59" t="s">
        <v>298</v>
      </c>
      <c r="H59" t="s">
        <v>401</v>
      </c>
      <c r="I59" s="10" t="s">
        <v>210</v>
      </c>
      <c r="J59" s="11"/>
      <c r="K59" s="26"/>
      <c r="O59" t="s">
        <v>402</v>
      </c>
    </row>
    <row r="60" spans="4:15" x14ac:dyDescent="0.3">
      <c r="D60" s="14" t="s">
        <v>403</v>
      </c>
      <c r="E60" s="16" t="s">
        <v>297</v>
      </c>
      <c r="F60">
        <v>10</v>
      </c>
      <c r="G60" t="s">
        <v>298</v>
      </c>
      <c r="H60" t="s">
        <v>404</v>
      </c>
      <c r="I60" t="s">
        <v>210</v>
      </c>
      <c r="K60" s="8"/>
      <c r="O60" t="s">
        <v>405</v>
      </c>
    </row>
    <row r="61" spans="4:15" x14ac:dyDescent="0.3">
      <c r="D61" s="20" t="s">
        <v>406</v>
      </c>
      <c r="E61" s="16" t="s">
        <v>297</v>
      </c>
      <c r="F61">
        <v>100</v>
      </c>
      <c r="G61" t="s">
        <v>298</v>
      </c>
      <c r="H61" t="s">
        <v>404</v>
      </c>
      <c r="I61" t="s">
        <v>210</v>
      </c>
      <c r="K61" s="8"/>
      <c r="O61" t="s">
        <v>407</v>
      </c>
    </row>
    <row r="62" spans="4:15" x14ac:dyDescent="0.3">
      <c r="D62" s="2" t="s">
        <v>408</v>
      </c>
      <c r="E62" s="3" t="s">
        <v>297</v>
      </c>
      <c r="F62">
        <v>10</v>
      </c>
      <c r="G62" t="s">
        <v>298</v>
      </c>
      <c r="H62" t="s">
        <v>404</v>
      </c>
      <c r="I62" t="s">
        <v>210</v>
      </c>
      <c r="K62" s="8"/>
      <c r="O62" t="s">
        <v>409</v>
      </c>
    </row>
    <row r="63" spans="4:15" x14ac:dyDescent="0.3">
      <c r="D63" s="2" t="s">
        <v>410</v>
      </c>
      <c r="E63" s="3" t="s">
        <v>297</v>
      </c>
      <c r="F63">
        <v>10</v>
      </c>
      <c r="G63" t="s">
        <v>298</v>
      </c>
      <c r="H63" t="s">
        <v>404</v>
      </c>
      <c r="I63" t="s">
        <v>210</v>
      </c>
      <c r="K63" s="8"/>
      <c r="O63" t="s">
        <v>411</v>
      </c>
    </row>
    <row r="64" spans="4:15" x14ac:dyDescent="0.3">
      <c r="D64" s="2" t="s">
        <v>412</v>
      </c>
      <c r="E64" s="3" t="s">
        <v>297</v>
      </c>
      <c r="F64">
        <v>10</v>
      </c>
      <c r="G64" t="s">
        <v>298</v>
      </c>
      <c r="H64" t="s">
        <v>404</v>
      </c>
      <c r="I64" t="s">
        <v>210</v>
      </c>
      <c r="K64" s="8"/>
      <c r="O64" t="s">
        <v>413</v>
      </c>
    </row>
    <row r="65" spans="4:15" x14ac:dyDescent="0.3">
      <c r="D65" s="2" t="s">
        <v>414</v>
      </c>
      <c r="E65" s="3" t="s">
        <v>235</v>
      </c>
      <c r="F65">
        <v>10</v>
      </c>
      <c r="G65" t="s">
        <v>298</v>
      </c>
      <c r="H65" t="s">
        <v>404</v>
      </c>
      <c r="I65" t="s">
        <v>210</v>
      </c>
      <c r="K65" s="8"/>
      <c r="O65" t="s">
        <v>415</v>
      </c>
    </row>
    <row r="66" spans="4:15" x14ac:dyDescent="0.3">
      <c r="D66" s="2" t="s">
        <v>416</v>
      </c>
      <c r="E66" s="3" t="s">
        <v>235</v>
      </c>
      <c r="F66">
        <v>10</v>
      </c>
      <c r="G66" t="s">
        <v>298</v>
      </c>
      <c r="H66" t="s">
        <v>404</v>
      </c>
      <c r="I66" t="s">
        <v>210</v>
      </c>
      <c r="K66" s="8"/>
      <c r="O66" t="s">
        <v>417</v>
      </c>
    </row>
    <row r="67" spans="4:15" x14ac:dyDescent="0.3">
      <c r="D67" s="2" t="s">
        <v>418</v>
      </c>
      <c r="E67" s="3" t="s">
        <v>235</v>
      </c>
      <c r="F67">
        <v>10</v>
      </c>
      <c r="G67" t="s">
        <v>298</v>
      </c>
      <c r="H67" t="s">
        <v>404</v>
      </c>
      <c r="I67" t="s">
        <v>212</v>
      </c>
      <c r="K67" s="8"/>
      <c r="O67" t="s">
        <v>419</v>
      </c>
    </row>
    <row r="68" spans="4:15" ht="15.75" customHeight="1" x14ac:dyDescent="0.3">
      <c r="D68" s="2" t="s">
        <v>420</v>
      </c>
      <c r="E68" s="3" t="s">
        <v>235</v>
      </c>
      <c r="F68">
        <v>10</v>
      </c>
      <c r="G68" t="s">
        <v>298</v>
      </c>
      <c r="H68" t="s">
        <v>404</v>
      </c>
      <c r="I68" t="s">
        <v>210</v>
      </c>
      <c r="K68" s="8"/>
      <c r="O68" t="s">
        <v>421</v>
      </c>
    </row>
    <row r="69" spans="4:15" x14ac:dyDescent="0.3">
      <c r="D69" s="2" t="s">
        <v>422</v>
      </c>
      <c r="E69" s="3" t="s">
        <v>235</v>
      </c>
      <c r="F69">
        <v>10</v>
      </c>
      <c r="G69" t="s">
        <v>298</v>
      </c>
      <c r="H69" t="s">
        <v>404</v>
      </c>
      <c r="I69" t="s">
        <v>212</v>
      </c>
      <c r="K69" s="8"/>
      <c r="O69" t="s">
        <v>423</v>
      </c>
    </row>
    <row r="70" spans="4:15" x14ac:dyDescent="0.3">
      <c r="D70" s="2" t="s">
        <v>424</v>
      </c>
      <c r="E70" s="3" t="s">
        <v>235</v>
      </c>
      <c r="F70">
        <v>10</v>
      </c>
      <c r="G70" t="s">
        <v>298</v>
      </c>
      <c r="H70" t="s">
        <v>404</v>
      </c>
      <c r="I70" t="s">
        <v>210</v>
      </c>
      <c r="K70" s="8"/>
      <c r="O70" t="s">
        <v>425</v>
      </c>
    </row>
    <row r="71" spans="4:15" x14ac:dyDescent="0.3">
      <c r="D71" s="2" t="s">
        <v>426</v>
      </c>
      <c r="E71" s="3" t="s">
        <v>235</v>
      </c>
      <c r="F71">
        <v>10</v>
      </c>
      <c r="G71" t="s">
        <v>298</v>
      </c>
      <c r="H71" t="s">
        <v>404</v>
      </c>
      <c r="I71" t="s">
        <v>210</v>
      </c>
      <c r="K71" s="8"/>
      <c r="O71" t="s">
        <v>427</v>
      </c>
    </row>
    <row r="72" spans="4:15" x14ac:dyDescent="0.3">
      <c r="D72" s="2" t="s">
        <v>428</v>
      </c>
      <c r="E72" s="3" t="s">
        <v>235</v>
      </c>
      <c r="F72">
        <v>10</v>
      </c>
      <c r="G72" t="s">
        <v>298</v>
      </c>
      <c r="H72" t="s">
        <v>404</v>
      </c>
      <c r="I72" t="s">
        <v>212</v>
      </c>
      <c r="K72" s="8"/>
      <c r="O72" t="s">
        <v>429</v>
      </c>
    </row>
    <row r="73" spans="4:15" x14ac:dyDescent="0.3">
      <c r="D73" s="2" t="s">
        <v>430</v>
      </c>
      <c r="E73" s="3" t="s">
        <v>235</v>
      </c>
      <c r="F73">
        <v>10</v>
      </c>
      <c r="G73" t="s">
        <v>298</v>
      </c>
      <c r="H73" t="s">
        <v>404</v>
      </c>
      <c r="I73" t="s">
        <v>210</v>
      </c>
      <c r="K73" s="8"/>
      <c r="O73" t="s">
        <v>431</v>
      </c>
    </row>
    <row r="74" spans="4:15" x14ac:dyDescent="0.3">
      <c r="D74" s="2" t="s">
        <v>432</v>
      </c>
      <c r="E74" s="3" t="s">
        <v>217</v>
      </c>
      <c r="F74">
        <v>10</v>
      </c>
      <c r="G74" t="s">
        <v>298</v>
      </c>
      <c r="H74" t="s">
        <v>404</v>
      </c>
      <c r="I74" t="s">
        <v>210</v>
      </c>
      <c r="K74" s="8"/>
      <c r="O74" t="s">
        <v>433</v>
      </c>
    </row>
    <row r="75" spans="4:15" ht="15" thickBot="1" x14ac:dyDescent="0.35">
      <c r="D75" s="15" t="s">
        <v>434</v>
      </c>
      <c r="E75" s="17" t="s">
        <v>217</v>
      </c>
      <c r="F75">
        <v>10</v>
      </c>
      <c r="G75" t="s">
        <v>298</v>
      </c>
      <c r="H75" t="s">
        <v>404</v>
      </c>
      <c r="I75" t="s">
        <v>212</v>
      </c>
      <c r="K75" s="8"/>
    </row>
    <row r="76" spans="4:15" x14ac:dyDescent="0.3">
      <c r="D76" s="14" t="s">
        <v>435</v>
      </c>
      <c r="E76" s="16" t="s">
        <v>235</v>
      </c>
      <c r="F76">
        <v>50</v>
      </c>
      <c r="G76" t="s">
        <v>298</v>
      </c>
      <c r="H76" t="s">
        <v>404</v>
      </c>
      <c r="I76" s="10" t="s">
        <v>210</v>
      </c>
      <c r="J76" s="11"/>
      <c r="K76" s="26"/>
    </row>
    <row r="77" spans="4:15" x14ac:dyDescent="0.3">
      <c r="D77" s="20" t="s">
        <v>436</v>
      </c>
      <c r="E77" s="16" t="s">
        <v>235</v>
      </c>
      <c r="F77">
        <v>100</v>
      </c>
      <c r="G77" t="s">
        <v>298</v>
      </c>
      <c r="H77" t="s">
        <v>404</v>
      </c>
      <c r="I77" s="10" t="s">
        <v>212</v>
      </c>
      <c r="J77" s="11"/>
      <c r="K77" s="26"/>
    </row>
    <row r="78" spans="4:15" x14ac:dyDescent="0.3">
      <c r="D78" s="2" t="s">
        <v>437</v>
      </c>
      <c r="E78" s="3" t="s">
        <v>235</v>
      </c>
      <c r="F78">
        <v>50</v>
      </c>
      <c r="G78" t="s">
        <v>298</v>
      </c>
      <c r="H78" t="s">
        <v>404</v>
      </c>
      <c r="I78" s="10" t="s">
        <v>210</v>
      </c>
      <c r="J78" s="11"/>
      <c r="K78" s="26"/>
    </row>
    <row r="79" spans="4:15" x14ac:dyDescent="0.3">
      <c r="D79" s="2" t="s">
        <v>438</v>
      </c>
      <c r="E79" s="3" t="s">
        <v>235</v>
      </c>
      <c r="F79">
        <v>50</v>
      </c>
      <c r="G79" t="s">
        <v>298</v>
      </c>
      <c r="H79" t="s">
        <v>404</v>
      </c>
      <c r="I79" s="10" t="s">
        <v>210</v>
      </c>
      <c r="J79" s="11"/>
      <c r="K79" s="26"/>
    </row>
    <row r="80" spans="4:15" x14ac:dyDescent="0.3">
      <c r="D80" s="2" t="s">
        <v>439</v>
      </c>
      <c r="E80" s="3" t="s">
        <v>235</v>
      </c>
      <c r="F80">
        <v>50</v>
      </c>
      <c r="G80" t="s">
        <v>298</v>
      </c>
      <c r="H80" t="s">
        <v>404</v>
      </c>
      <c r="I80" s="10" t="s">
        <v>210</v>
      </c>
      <c r="J80" s="11"/>
      <c r="K80" s="26"/>
    </row>
    <row r="81" spans="4:11" x14ac:dyDescent="0.3">
      <c r="D81" s="2" t="s">
        <v>440</v>
      </c>
      <c r="E81" s="3" t="s">
        <v>235</v>
      </c>
      <c r="F81">
        <v>50</v>
      </c>
      <c r="G81" t="s">
        <v>298</v>
      </c>
      <c r="H81" t="s">
        <v>404</v>
      </c>
      <c r="I81" s="10" t="s">
        <v>210</v>
      </c>
      <c r="J81" s="11"/>
      <c r="K81" s="26"/>
    </row>
    <row r="82" spans="4:11" x14ac:dyDescent="0.3">
      <c r="D82" s="2" t="s">
        <v>441</v>
      </c>
      <c r="E82" s="3" t="s">
        <v>235</v>
      </c>
      <c r="F82">
        <v>75</v>
      </c>
      <c r="G82" t="s">
        <v>298</v>
      </c>
      <c r="H82" t="s">
        <v>404</v>
      </c>
      <c r="I82" s="10" t="s">
        <v>210</v>
      </c>
      <c r="J82" s="11"/>
      <c r="K82" s="26"/>
    </row>
    <row r="83" spans="4:11" x14ac:dyDescent="0.3">
      <c r="D83" s="21" t="s">
        <v>442</v>
      </c>
      <c r="E83" s="3" t="s">
        <v>235</v>
      </c>
      <c r="F83">
        <v>100</v>
      </c>
      <c r="G83" t="s">
        <v>298</v>
      </c>
      <c r="H83" t="s">
        <v>404</v>
      </c>
      <c r="I83" s="10" t="s">
        <v>212</v>
      </c>
      <c r="J83" s="11"/>
      <c r="K83" s="26"/>
    </row>
    <row r="84" spans="4:11" x14ac:dyDescent="0.3">
      <c r="D84" s="2" t="s">
        <v>443</v>
      </c>
      <c r="E84" s="3" t="s">
        <v>235</v>
      </c>
      <c r="F84">
        <v>75</v>
      </c>
      <c r="G84" t="s">
        <v>298</v>
      </c>
      <c r="H84" t="s">
        <v>404</v>
      </c>
      <c r="I84" s="10" t="s">
        <v>210</v>
      </c>
      <c r="J84" s="11"/>
      <c r="K84" s="26"/>
    </row>
    <row r="85" spans="4:11" x14ac:dyDescent="0.3">
      <c r="D85" s="2" t="s">
        <v>444</v>
      </c>
      <c r="E85" s="3" t="s">
        <v>235</v>
      </c>
      <c r="F85">
        <v>75</v>
      </c>
      <c r="G85" t="s">
        <v>298</v>
      </c>
      <c r="H85" t="s">
        <v>404</v>
      </c>
      <c r="I85" s="10" t="s">
        <v>210</v>
      </c>
      <c r="J85" s="11"/>
      <c r="K85" s="26"/>
    </row>
    <row r="86" spans="4:11" ht="15" thickBot="1" x14ac:dyDescent="0.35">
      <c r="D86" s="15" t="s">
        <v>445</v>
      </c>
      <c r="E86" s="17" t="s">
        <v>235</v>
      </c>
      <c r="F86">
        <v>75</v>
      </c>
      <c r="G86" t="s">
        <v>298</v>
      </c>
      <c r="H86" t="s">
        <v>404</v>
      </c>
      <c r="I86" s="10" t="s">
        <v>210</v>
      </c>
      <c r="J86" s="11"/>
      <c r="K86" s="26"/>
    </row>
    <row r="87" spans="4:11" ht="15" thickBot="1" x14ac:dyDescent="0.35">
      <c r="D87" s="18" t="s">
        <v>446</v>
      </c>
      <c r="E87" s="19" t="s">
        <v>297</v>
      </c>
      <c r="I87" s="10" t="s">
        <v>212</v>
      </c>
      <c r="J87" s="11"/>
      <c r="K87" s="26"/>
    </row>
    <row r="88" spans="4:11" x14ac:dyDescent="0.3">
      <c r="D88" s="14" t="s">
        <v>447</v>
      </c>
      <c r="E88" s="16" t="s">
        <v>297</v>
      </c>
      <c r="F88">
        <v>50</v>
      </c>
      <c r="G88" t="s">
        <v>448</v>
      </c>
      <c r="H88" t="s">
        <v>404</v>
      </c>
      <c r="I88" s="10" t="s">
        <v>210</v>
      </c>
      <c r="J88" s="11"/>
      <c r="K88" s="26"/>
    </row>
    <row r="89" spans="4:11" ht="15" thickBot="1" x14ac:dyDescent="0.35">
      <c r="D89" s="15" t="s">
        <v>449</v>
      </c>
      <c r="E89" s="17" t="s">
        <v>9</v>
      </c>
      <c r="F89">
        <v>50</v>
      </c>
      <c r="G89" t="s">
        <v>448</v>
      </c>
      <c r="H89" t="s">
        <v>404</v>
      </c>
      <c r="I89" s="10" t="s">
        <v>210</v>
      </c>
      <c r="J89" s="11"/>
      <c r="K89" s="26"/>
    </row>
    <row r="90" spans="4:11" ht="15" thickBot="1" x14ac:dyDescent="0.35">
      <c r="D90" s="18" t="s">
        <v>450</v>
      </c>
      <c r="E90" s="19" t="s">
        <v>235</v>
      </c>
      <c r="H90" t="s">
        <v>404</v>
      </c>
      <c r="I90" s="10" t="s">
        <v>212</v>
      </c>
      <c r="J90" s="11"/>
      <c r="K90" s="26"/>
    </row>
    <row r="91" spans="4:11" x14ac:dyDescent="0.3">
      <c r="D91" s="14" t="s">
        <v>451</v>
      </c>
      <c r="E91" s="16" t="s">
        <v>297</v>
      </c>
      <c r="H91" t="s">
        <v>452</v>
      </c>
      <c r="I91" t="s">
        <v>212</v>
      </c>
      <c r="J91" s="11"/>
      <c r="K91" s="26"/>
    </row>
    <row r="92" spans="4:11" ht="15" thickBot="1" x14ac:dyDescent="0.35">
      <c r="D92" s="15" t="s">
        <v>453</v>
      </c>
      <c r="E92" s="17" t="s">
        <v>235</v>
      </c>
      <c r="F92">
        <v>20</v>
      </c>
      <c r="G92" t="s">
        <v>298</v>
      </c>
      <c r="H92" t="s">
        <v>452</v>
      </c>
      <c r="I92" t="s">
        <v>212</v>
      </c>
      <c r="J92" s="11"/>
      <c r="K92" s="26"/>
    </row>
    <row r="93" spans="4:11" ht="15" thickBot="1" x14ac:dyDescent="0.35">
      <c r="D93" s="18" t="s">
        <v>454</v>
      </c>
      <c r="E93" s="19" t="s">
        <v>235</v>
      </c>
      <c r="H93" t="s">
        <v>293</v>
      </c>
      <c r="I93" t="s">
        <v>212</v>
      </c>
      <c r="J93" s="11"/>
      <c r="K93" s="26"/>
    </row>
    <row r="94" spans="4:11" x14ac:dyDescent="0.3">
      <c r="D94" s="29" t="s">
        <v>455</v>
      </c>
      <c r="E94" s="16" t="s">
        <v>235</v>
      </c>
      <c r="I94" t="s">
        <v>212</v>
      </c>
      <c r="J94" s="11"/>
      <c r="K94" s="26"/>
    </row>
    <row r="95" spans="4:11" ht="15" thickBot="1" x14ac:dyDescent="0.35">
      <c r="D95" s="27" t="s">
        <v>456</v>
      </c>
      <c r="E95" s="17" t="s">
        <v>235</v>
      </c>
      <c r="F95">
        <v>5</v>
      </c>
      <c r="G95" t="s">
        <v>236</v>
      </c>
      <c r="H95" t="s">
        <v>293</v>
      </c>
      <c r="I95" t="s">
        <v>212</v>
      </c>
      <c r="J95" s="11"/>
      <c r="K95" s="26"/>
    </row>
    <row r="96" spans="4:11" ht="15" thickBot="1" x14ac:dyDescent="0.35">
      <c r="D96" s="18" t="s">
        <v>457</v>
      </c>
      <c r="E96" s="19" t="s">
        <v>235</v>
      </c>
      <c r="F96">
        <v>10</v>
      </c>
      <c r="G96" t="s">
        <v>298</v>
      </c>
      <c r="H96" t="s">
        <v>458</v>
      </c>
      <c r="I96" t="s">
        <v>212</v>
      </c>
      <c r="J96" s="11"/>
      <c r="K96" s="26"/>
    </row>
    <row r="97" spans="4:11" x14ac:dyDescent="0.3">
      <c r="D97" s="14" t="s">
        <v>459</v>
      </c>
      <c r="E97" s="16" t="s">
        <v>297</v>
      </c>
      <c r="F97">
        <v>12</v>
      </c>
      <c r="G97" t="s">
        <v>298</v>
      </c>
      <c r="H97" t="s">
        <v>460</v>
      </c>
      <c r="I97" t="s">
        <v>212</v>
      </c>
      <c r="J97" s="11"/>
      <c r="K97" s="26"/>
    </row>
    <row r="98" spans="4:11" x14ac:dyDescent="0.3">
      <c r="D98" s="2" t="s">
        <v>461</v>
      </c>
      <c r="E98" s="3" t="s">
        <v>297</v>
      </c>
      <c r="F98">
        <v>50</v>
      </c>
      <c r="G98" t="s">
        <v>298</v>
      </c>
      <c r="H98" t="s">
        <v>462</v>
      </c>
      <c r="I98" t="s">
        <v>212</v>
      </c>
      <c r="J98" s="11"/>
      <c r="K98" s="26"/>
    </row>
    <row r="99" spans="4:11" x14ac:dyDescent="0.3">
      <c r="D99" s="24" t="s">
        <v>463</v>
      </c>
      <c r="E99" s="3" t="s">
        <v>217</v>
      </c>
      <c r="F99">
        <v>10</v>
      </c>
      <c r="G99" t="s">
        <v>298</v>
      </c>
      <c r="I99" t="s">
        <v>212</v>
      </c>
      <c r="J99" s="11"/>
      <c r="K99" s="26"/>
    </row>
    <row r="100" spans="4:11" x14ac:dyDescent="0.3">
      <c r="D100" s="2" t="s">
        <v>464</v>
      </c>
      <c r="E100" s="3" t="s">
        <v>297</v>
      </c>
      <c r="F100">
        <v>75</v>
      </c>
      <c r="G100" t="s">
        <v>298</v>
      </c>
      <c r="H100" t="s">
        <v>465</v>
      </c>
      <c r="I100" t="s">
        <v>212</v>
      </c>
      <c r="K100" s="8"/>
    </row>
    <row r="101" spans="4:11" x14ac:dyDescent="0.3">
      <c r="D101" s="2" t="s">
        <v>466</v>
      </c>
      <c r="E101" s="3" t="s">
        <v>297</v>
      </c>
      <c r="F101">
        <v>300</v>
      </c>
      <c r="G101" t="s">
        <v>298</v>
      </c>
      <c r="H101" t="s">
        <v>465</v>
      </c>
      <c r="I101" t="s">
        <v>212</v>
      </c>
      <c r="K101" s="8"/>
    </row>
    <row r="102" spans="4:11" x14ac:dyDescent="0.3">
      <c r="D102" s="2" t="s">
        <v>467</v>
      </c>
      <c r="E102" s="4" t="s">
        <v>297</v>
      </c>
      <c r="F102">
        <v>75</v>
      </c>
      <c r="G102" t="s">
        <v>298</v>
      </c>
      <c r="H102" t="s">
        <v>465</v>
      </c>
      <c r="I102" t="s">
        <v>212</v>
      </c>
      <c r="K102" s="8"/>
    </row>
    <row r="103" spans="4:11" x14ac:dyDescent="0.3">
      <c r="D103" s="2" t="s">
        <v>468</v>
      </c>
      <c r="E103" s="4" t="s">
        <v>297</v>
      </c>
      <c r="F103">
        <v>300</v>
      </c>
      <c r="G103" t="s">
        <v>298</v>
      </c>
      <c r="H103" t="s">
        <v>465</v>
      </c>
      <c r="I103" t="s">
        <v>212</v>
      </c>
      <c r="K103" s="8"/>
    </row>
    <row r="104" spans="4:11" ht="15" thickBot="1" x14ac:dyDescent="0.35">
      <c r="D104" s="15" t="s">
        <v>469</v>
      </c>
      <c r="E104" s="22" t="s">
        <v>297</v>
      </c>
      <c r="F104">
        <v>200</v>
      </c>
      <c r="G104" t="s">
        <v>298</v>
      </c>
      <c r="H104" t="s">
        <v>465</v>
      </c>
      <c r="I104" t="s">
        <v>212</v>
      </c>
      <c r="K104" s="8"/>
    </row>
    <row r="105" spans="4:11" ht="15" thickBot="1" x14ac:dyDescent="0.35">
      <c r="D105" s="18" t="s">
        <v>470</v>
      </c>
      <c r="E105" s="19" t="s">
        <v>11</v>
      </c>
      <c r="H105" t="s">
        <v>471</v>
      </c>
      <c r="I105" t="s">
        <v>212</v>
      </c>
      <c r="K105" s="8"/>
    </row>
    <row r="106" spans="4:11" ht="16.5" customHeight="1" x14ac:dyDescent="0.3">
      <c r="D106" s="23"/>
      <c r="K106" s="8"/>
    </row>
    <row r="107" spans="4:11" ht="16.5" customHeight="1" x14ac:dyDescent="0.3"/>
    <row r="108" spans="4:11" ht="16.5" customHeight="1" x14ac:dyDescent="0.3"/>
    <row r="109" spans="4:11" ht="17.25" customHeight="1" x14ac:dyDescent="0.3"/>
    <row r="112" spans="4:11" ht="15" customHeight="1" x14ac:dyDescent="0.3"/>
    <row r="115" ht="12.75" customHeight="1" x14ac:dyDescent="0.3"/>
    <row r="131" spans="3:3" x14ac:dyDescent="0.3">
      <c r="C131" t="s">
        <v>472</v>
      </c>
    </row>
    <row r="134" spans="3:3" ht="17.25" customHeight="1" x14ac:dyDescent="0.3"/>
    <row r="135" spans="3:3" ht="20.25" customHeight="1" x14ac:dyDescent="0.3"/>
  </sheetData>
  <sheetProtection algorithmName="SHA-512" hashValue="pLxUr/FPEJEjg/FUsAkstSRmm2Q8wlYaquhrnniWWSLPpV/v2a98ekWZwRJBG7nKkIlhiiXiF3ZxOQ5UQ5qZ7Q==" saltValue="ex6Tokv8pJCYXAKOfgQNBg==" spinCount="100000" sheet="1" objects="1" scenarios="1"/>
  <hyperlinks>
    <hyperlink ref="H1" r:id="rId1" display="https://eippcb.jrc.ec.europa.eu/reference/" xr:uid="{B2267D76-BD9E-43E8-8D4C-99FA613C15DB}"/>
    <hyperlink ref="I1" r:id="rId2" display="https://www.legislation.gov.uk/uksi/2018/1227/made" xr:uid="{A2B1F8FC-45AA-4CA3-8D9A-F3C6196444A7}"/>
  </hyperlinks>
  <pageMargins left="0.7" right="0.7" top="0.75" bottom="0.75" header="0.3" footer="0.3"/>
  <pageSetup paperSize="9" orientation="portrait" verticalDpi="0" r:id="rId3"/>
  <drawing r:id="rId4"/>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78499d3b-94a8-4059-8763-489d4400b14a" ContentTypeId="0x01010067EB80C5FE939D4A9B3D8BA62129B7F502" PreviousValue="false" LastSyncTimeStamp="2015-02-19T08:45:00.1Z"/>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NRW Excel Document" ma:contentTypeID="0x01010067EB80C5FE939D4A9B3D8BA62129B7F50200E9CFCCC36D8EA04592A023A1E2138FF7" ma:contentTypeVersion="64" ma:contentTypeDescription="" ma:contentTypeScope="" ma:versionID="367f994dcb4193d8f0b6ed4d94ba3134">
  <xsd:schema xmlns:xsd="http://www.w3.org/2001/XMLSchema" xmlns:xs="http://www.w3.org/2001/XMLSchema" xmlns:p="http://schemas.microsoft.com/office/2006/metadata/properties" xmlns:ns2="9be56660-2c31-41ef-bc00-23e72f632f2a" targetNamespace="http://schemas.microsoft.com/office/2006/metadata/properties" ma:root="true" ma:fieldsID="49da0bbf7d116c7367815fab54ec06ef"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be56660-2c31-41ef-bc00-23e72f632f2a">MANA-1973704451-588</_dlc_DocId>
    <_dlc_DocIdUrl xmlns="9be56660-2c31-41ef-bc00-23e72f632f2a">
      <Url>https://cyfoethnaturiolcymru.sharepoint.com/teams/manbus/ManagingRegionsAndGroups/hbreksp/_layouts/15/DocIdRedir.aspx?ID=MANA-1973704451-588</Url>
      <Description>MANA-1973704451-588</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C5D855-52AA-4E73-89B3-36CEAFDC9EC3}">
  <ds:schemaRefs>
    <ds:schemaRef ds:uri="Microsoft.SharePoint.Taxonomy.ContentTypeSync"/>
  </ds:schemaRefs>
</ds:datastoreItem>
</file>

<file path=customXml/itemProps2.xml><?xml version="1.0" encoding="utf-8"?>
<ds:datastoreItem xmlns:ds="http://schemas.openxmlformats.org/officeDocument/2006/customXml" ds:itemID="{E25169E3-8FBC-41CE-8C76-79A6BB6A50D7}">
  <ds:schemaRefs>
    <ds:schemaRef ds:uri="http://schemas.microsoft.com/sharepoint/events"/>
  </ds:schemaRefs>
</ds:datastoreItem>
</file>

<file path=customXml/itemProps3.xml><?xml version="1.0" encoding="utf-8"?>
<ds:datastoreItem xmlns:ds="http://schemas.openxmlformats.org/officeDocument/2006/customXml" ds:itemID="{56CCA825-2157-4580-BB2F-4AF5023E14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30E6885-559B-43E8-B80E-93F388622BD2}">
  <ds:schemaRefs>
    <ds:schemaRef ds:uri="http://schemas.microsoft.com/office/2006/metadata/properties"/>
    <ds:schemaRef ds:uri="http://schemas.microsoft.com/office/infopath/2007/PartnerControls"/>
    <ds:schemaRef ds:uri="9be56660-2c31-41ef-bc00-23e72f632f2a"/>
  </ds:schemaRefs>
</ds:datastoreItem>
</file>

<file path=customXml/itemProps5.xml><?xml version="1.0" encoding="utf-8"?>
<ds:datastoreItem xmlns:ds="http://schemas.openxmlformats.org/officeDocument/2006/customXml" ds:itemID="{A8CBB9AE-4945-4476-93AD-E66755417E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Guidance New</vt:lpstr>
      <vt:lpstr>Introduction</vt:lpstr>
      <vt:lpstr>1 Listed activity</vt:lpstr>
      <vt:lpstr>2 Other activities</vt:lpstr>
      <vt:lpstr>3 New Application</vt:lpstr>
      <vt:lpstr>Picklists</vt:lpstr>
      <vt:lpstr>category</vt:lpstr>
      <vt:lpstr>DAA_waste_activity</vt:lpstr>
      <vt:lpstr>MCP</vt:lpstr>
      <vt:lpstr>MCP_and_SG</vt:lpstr>
      <vt:lpstr>No</vt:lpstr>
      <vt:lpstr>Operator</vt:lpstr>
      <vt:lpstr>Part_B</vt:lpstr>
      <vt:lpstr>PartA2</vt:lpstr>
      <vt:lpstr>PartB_MCP_and_or_SG</vt:lpstr>
      <vt:lpstr>SG</vt:lpstr>
      <vt:lpstr>Yes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2240118 Charge tool New</dc:title>
  <dc:subject/>
  <dc:creator>Mark.Broom</dc:creator>
  <cp:keywords/>
  <dc:description/>
  <cp:lastModifiedBy>Potts, Shaun</cp:lastModifiedBy>
  <cp:revision/>
  <dcterms:created xsi:type="dcterms:W3CDTF">2022-08-19T07:52:48Z</dcterms:created>
  <dcterms:modified xsi:type="dcterms:W3CDTF">2024-08-16T16:52:56Z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0x01010067EB80C5FE939D4A9B3D8BA62129B7F50200E9CFCCC36D8EA04592A023A1E2138FF7</vt:lpwstr>
  </property>
  <property fmtid="{D5CDD505-2E9C-101B-9397-08002B2CF9AE}" pid="3" name="_dlc_DocIdItemGuid">
    <vt:lpwstr>5c0256c8-2b34-494f-8c73-756a568d260b</vt:lpwstr>
  </property>
</Properties>
</file>