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5.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xl/drawings/drawing6.xml" ContentType="application/vnd.openxmlformats-officedocument.drawing+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comments3.xml" ContentType="application/vnd.openxmlformats-officedocument.spreadsheetml.comments+xml"/>
  <Override PartName="/xl/drawings/drawing8.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cyfoethnaturiolcymru-my.sharepoint.com/personal/shaun_potts_cyfoethnaturiolcymru_gov_uk/Documents/Attachments/"/>
    </mc:Choice>
  </mc:AlternateContent>
  <xr:revisionPtr revIDLastSave="0" documentId="8_{FD271C48-CCD2-4515-889A-07FD087412A1}" xr6:coauthVersionLast="47" xr6:coauthVersionMax="47" xr10:uidLastSave="{00000000-0000-0000-0000-000000000000}"/>
  <workbookProtection workbookAlgorithmName="SHA-512" workbookHashValue="X9qab7Ucpv8VVw5QBPYLwJr6w7haoNEDkTO6ySX6FN1ZqMuoGDqdN1ufLvFWXmj1wzbYMZiDOZE+QFB7KA+5eQ==" workbookSaltValue="JPdVdgmqdjxknO0ygVczCg==" workbookSpinCount="100000" lockStructure="1"/>
  <bookViews>
    <workbookView xWindow="-108" yWindow="-108" windowWidth="23256" windowHeight="12576" firstSheet="1" activeTab="1" xr2:uid="{28DB608C-08CC-4745-B1CD-AAD22044CB12}"/>
  </bookViews>
  <sheets>
    <sheet name="Guidance - please read" sheetId="17" r:id="rId1"/>
    <sheet name="Introduction" sheetId="1" r:id="rId2"/>
    <sheet name="1 Listed activity" sheetId="3" r:id="rId3"/>
    <sheet name="2 Other activities" sheetId="4" r:id="rId4"/>
    <sheet name="3 Complexities" sheetId="5" r:id="rId5"/>
    <sheet name="4 Air" sheetId="6" r:id="rId6"/>
    <sheet name="5 Water" sheetId="8" r:id="rId7"/>
    <sheet name="6 Land" sheetId="9" r:id="rId8"/>
    <sheet name="7 Sewer" sheetId="10" r:id="rId9"/>
    <sheet name="8 Waste" sheetId="11" r:id="rId10"/>
    <sheet name="9 Emissions summary" sheetId="12" r:id="rId11"/>
    <sheet name="10 Location" sheetId="13" r:id="rId12"/>
    <sheet name="11 Operator performance" sheetId="14" r:id="rId13"/>
    <sheet name="12 EP Summary" sheetId="15" r:id="rId14"/>
    <sheet name="13 Calculation" sheetId="16" r:id="rId15"/>
    <sheet name="Picklists" sheetId="2" r:id="rId16"/>
  </sheets>
  <externalReferences>
    <externalReference r:id="rId17"/>
  </externalReferences>
  <definedNames>
    <definedName name="category">Picklists!$J$3:$P$3</definedName>
    <definedName name="DAA">Picklists!$M$4</definedName>
    <definedName name="DAA_Waste">Picklists!$M$4</definedName>
    <definedName name="MCP">Picklists!$P$4:$P$4</definedName>
    <definedName name="MCP_and_SG">Picklists!$N$4:$N$4</definedName>
    <definedName name="No">Picklists!$AC$3</definedName>
    <definedName name="Operator">Picklists!$AB$2:$AC$2</definedName>
    <definedName name="PartA2">Picklists!$J$4:$J$24</definedName>
    <definedName name="PartB">Picklists!$K$4:$K$74</definedName>
    <definedName name="PartB_MCP_and_or_SG">Picklists!$L$4:$L$9</definedName>
    <definedName name="SG">Picklists!$O$4</definedName>
    <definedName name="Yes">Picklists!$AB$3:$AB$4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4" i="14" l="1"/>
  <c r="J83" i="14"/>
  <c r="J166" i="14" s="1"/>
  <c r="J81" i="14"/>
  <c r="J80" i="14"/>
  <c r="J79" i="14"/>
  <c r="J78" i="14"/>
  <c r="J77" i="14"/>
  <c r="J76" i="14"/>
  <c r="J75" i="14"/>
  <c r="J73" i="14"/>
  <c r="J72" i="14"/>
  <c r="J71" i="14"/>
  <c r="J67" i="14"/>
  <c r="J66" i="14"/>
  <c r="J65" i="14"/>
  <c r="F84" i="14" l="1"/>
  <c r="I98" i="14"/>
  <c r="I97" i="14"/>
  <c r="F104" i="14"/>
  <c r="F105" i="14"/>
  <c r="F106" i="14"/>
  <c r="F107" i="14"/>
  <c r="F108" i="14"/>
  <c r="I99" i="14"/>
  <c r="I100" i="14"/>
  <c r="I101" i="14"/>
  <c r="I104" i="14"/>
  <c r="I105" i="14"/>
  <c r="I106" i="14"/>
  <c r="I107" i="14"/>
  <c r="I108" i="14"/>
  <c r="I112" i="14"/>
  <c r="I113" i="14"/>
  <c r="I114" i="14"/>
  <c r="I115" i="14"/>
  <c r="I111" i="14"/>
  <c r="I103" i="14"/>
  <c r="F103" i="14" s="1"/>
  <c r="I96" i="14"/>
  <c r="F96" i="14" s="1"/>
  <c r="D89" i="14"/>
  <c r="I110" i="14"/>
  <c r="F115" i="14"/>
  <c r="F114" i="14"/>
  <c r="F113" i="14"/>
  <c r="F112" i="14"/>
  <c r="F98" i="14"/>
  <c r="F99" i="14"/>
  <c r="F100" i="14"/>
  <c r="F101" i="14"/>
  <c r="D127" i="14"/>
  <c r="D103" i="14"/>
  <c r="D126" i="14"/>
  <c r="D96" i="14"/>
  <c r="F89" i="14"/>
  <c r="F90" i="14" s="1"/>
  <c r="F91" i="14" s="1"/>
  <c r="D125" i="14"/>
  <c r="F93" i="14"/>
  <c r="F94" i="14"/>
  <c r="F97" i="14" l="1"/>
  <c r="D110" i="14"/>
  <c r="F110" i="14"/>
  <c r="E127" i="14"/>
  <c r="F127" i="14" s="1"/>
  <c r="E126" i="14"/>
  <c r="F126" i="14" s="1"/>
  <c r="F92" i="14"/>
  <c r="E125" i="14" s="1"/>
  <c r="C22" i="5"/>
  <c r="D22" i="5"/>
  <c r="C23" i="5"/>
  <c r="D23" i="5"/>
  <c r="C24" i="5"/>
  <c r="D24" i="5"/>
  <c r="C25" i="5"/>
  <c r="D25" i="5"/>
  <c r="C26" i="5"/>
  <c r="D26" i="5"/>
  <c r="C27" i="5"/>
  <c r="D27" i="5"/>
  <c r="C28" i="5"/>
  <c r="D28" i="5"/>
  <c r="C29" i="5"/>
  <c r="D29" i="5"/>
  <c r="C30" i="5"/>
  <c r="D30" i="5"/>
  <c r="C31" i="5"/>
  <c r="D31" i="5"/>
  <c r="C32" i="5"/>
  <c r="D32" i="5"/>
  <c r="C33" i="5"/>
  <c r="D33" i="5"/>
  <c r="F111" i="14" l="1"/>
  <c r="E128" i="14" s="1"/>
  <c r="G38" i="3"/>
  <c r="G39" i="3"/>
  <c r="H157" i="14" l="1"/>
  <c r="J164" i="14" l="1"/>
  <c r="H3" i="16" l="1"/>
  <c r="D3" i="15"/>
  <c r="K67" i="14"/>
  <c r="D2" i="14"/>
  <c r="D6" i="13"/>
  <c r="D7" i="12"/>
  <c r="D6" i="11"/>
  <c r="D5" i="10"/>
  <c r="D6" i="9"/>
  <c r="C6" i="8"/>
  <c r="D5" i="6"/>
  <c r="D6" i="5"/>
  <c r="E5" i="4"/>
  <c r="E5" i="3"/>
  <c r="F38" i="14" l="1"/>
  <c r="K65" i="14"/>
  <c r="F9" i="3"/>
  <c r="F10" i="3"/>
  <c r="F11" i="3"/>
  <c r="F12" i="3"/>
  <c r="F13" i="3"/>
  <c r="F14" i="3"/>
  <c r="F15" i="3"/>
  <c r="F16" i="3"/>
  <c r="F17" i="3"/>
  <c r="F18" i="3"/>
  <c r="F19" i="3"/>
  <c r="F20" i="3"/>
  <c r="F21" i="3"/>
  <c r="E22" i="5" s="1"/>
  <c r="F22" i="3"/>
  <c r="E23" i="5" s="1"/>
  <c r="F23" i="3"/>
  <c r="E24" i="5" s="1"/>
  <c r="F24" i="3"/>
  <c r="E25" i="5" s="1"/>
  <c r="F25" i="3"/>
  <c r="E26" i="5" s="1"/>
  <c r="F26" i="3"/>
  <c r="E27" i="5" s="1"/>
  <c r="F27" i="3"/>
  <c r="E28" i="5" s="1"/>
  <c r="F28" i="3"/>
  <c r="E29" i="5" s="1"/>
  <c r="F29" i="3"/>
  <c r="E30" i="5" s="1"/>
  <c r="F30" i="3"/>
  <c r="E31" i="5" s="1"/>
  <c r="F31" i="3"/>
  <c r="E32" i="5" s="1"/>
  <c r="F32" i="3"/>
  <c r="E33" i="5" s="1"/>
  <c r="F8" i="3"/>
  <c r="F52" i="14"/>
  <c r="K166" i="14" l="1"/>
  <c r="J163" i="14"/>
  <c r="D45" i="13" l="1"/>
  <c r="D51" i="13"/>
  <c r="K83" i="14"/>
  <c r="K66" i="14"/>
  <c r="F53" i="14"/>
  <c r="E47" i="5" l="1"/>
  <c r="L166" i="14"/>
  <c r="J165" i="14"/>
  <c r="E59" i="14"/>
  <c r="D46" i="13"/>
  <c r="D47" i="13"/>
  <c r="D48" i="13"/>
  <c r="D49" i="13"/>
  <c r="D50" i="13"/>
  <c r="D47" i="5"/>
  <c r="H19" i="15" l="1"/>
  <c r="H22" i="16" s="1"/>
  <c r="H18" i="15"/>
  <c r="H21" i="16" s="1"/>
  <c r="F9" i="5" l="1"/>
  <c r="F10" i="5"/>
  <c r="F11" i="5"/>
  <c r="F12" i="5"/>
  <c r="F13" i="5"/>
  <c r="F14" i="5"/>
  <c r="F15" i="5"/>
  <c r="F16" i="5"/>
  <c r="F17" i="5"/>
  <c r="F18" i="5"/>
  <c r="F19" i="5"/>
  <c r="F20" i="5"/>
  <c r="F21" i="5"/>
  <c r="F22" i="5"/>
  <c r="F23" i="5"/>
  <c r="F24" i="5"/>
  <c r="F25" i="5"/>
  <c r="F26" i="5"/>
  <c r="F27" i="5"/>
  <c r="F28" i="5"/>
  <c r="F29" i="5"/>
  <c r="F30" i="5"/>
  <c r="F31" i="5"/>
  <c r="F32" i="5"/>
  <c r="F33" i="5"/>
  <c r="F34" i="5"/>
  <c r="F35" i="5"/>
  <c r="F36" i="5"/>
  <c r="F37" i="5"/>
  <c r="F38" i="5"/>
  <c r="I34" i="16"/>
  <c r="E10" i="5"/>
  <c r="E11" i="5"/>
  <c r="E12" i="5"/>
  <c r="E13" i="5"/>
  <c r="H26" i="3"/>
  <c r="H27" i="3"/>
  <c r="H28" i="3"/>
  <c r="H29" i="3"/>
  <c r="H30" i="3"/>
  <c r="H31" i="3"/>
  <c r="H32" i="3"/>
  <c r="E9" i="5"/>
  <c r="D3" i="16"/>
  <c r="K11" i="3" l="1"/>
  <c r="K12" i="3"/>
  <c r="K8" i="3"/>
  <c r="K9" i="3"/>
  <c r="K10" i="3"/>
  <c r="D2" i="15" l="1"/>
  <c r="D128" i="14"/>
  <c r="D157" i="14"/>
  <c r="F80" i="14"/>
  <c r="F76" i="14"/>
  <c r="F77" i="14"/>
  <c r="F78" i="14"/>
  <c r="F79" i="14"/>
  <c r="F81" i="14"/>
  <c r="F83" i="14"/>
  <c r="F75" i="14"/>
  <c r="F72" i="14"/>
  <c r="F73" i="14"/>
  <c r="F71" i="14"/>
  <c r="F67" i="14"/>
  <c r="F66" i="14"/>
  <c r="F65" i="14"/>
  <c r="F58" i="14"/>
  <c r="F57" i="14"/>
  <c r="F56" i="14"/>
  <c r="F55" i="14"/>
  <c r="F54" i="14"/>
  <c r="F51" i="14"/>
  <c r="F31" i="14"/>
  <c r="F34" i="14"/>
  <c r="F35" i="14"/>
  <c r="F36" i="14"/>
  <c r="F37" i="14"/>
  <c r="F30" i="14"/>
  <c r="F32" i="14"/>
  <c r="F33" i="14"/>
  <c r="F39" i="14"/>
  <c r="F29" i="14"/>
  <c r="F26" i="14"/>
  <c r="F18" i="14"/>
  <c r="F17" i="14"/>
  <c r="F16" i="14"/>
  <c r="F15" i="14"/>
  <c r="F14" i="14"/>
  <c r="F13" i="14"/>
  <c r="F12" i="14"/>
  <c r="F11" i="14"/>
  <c r="F10" i="14"/>
  <c r="D1" i="14"/>
  <c r="F125" i="14" l="1"/>
  <c r="G125" i="14" s="1"/>
  <c r="F68" i="14"/>
  <c r="F85" i="14" s="1"/>
  <c r="G127" i="14"/>
  <c r="G126" i="14"/>
  <c r="F128" i="14"/>
  <c r="G128" i="14" s="1"/>
  <c r="F59" i="14"/>
  <c r="F19" i="14"/>
  <c r="F40" i="14"/>
  <c r="G130" i="14" l="1"/>
  <c r="E167" i="14" s="1"/>
  <c r="E166" i="14"/>
  <c r="G85" i="14"/>
  <c r="G68" i="14"/>
  <c r="G59" i="14"/>
  <c r="E165" i="14"/>
  <c r="G40" i="14"/>
  <c r="E164" i="14"/>
  <c r="G19" i="14"/>
  <c r="E163" i="14"/>
  <c r="G131" i="14" l="1"/>
  <c r="G164" i="14"/>
  <c r="I164" i="14" s="1"/>
  <c r="F164" i="14"/>
  <c r="G165" i="14"/>
  <c r="I165" i="14" s="1"/>
  <c r="F165" i="14"/>
  <c r="G163" i="14"/>
  <c r="I163" i="14" s="1"/>
  <c r="F163" i="14"/>
  <c r="G167" i="14"/>
  <c r="I167" i="14" s="1"/>
  <c r="F167" i="14"/>
  <c r="G166" i="14"/>
  <c r="I166" i="14" s="1"/>
  <c r="F166" i="14"/>
  <c r="F40" i="13"/>
  <c r="D63" i="13" s="1"/>
  <c r="F32" i="13"/>
  <c r="D62" i="13" s="1"/>
  <c r="F23" i="13"/>
  <c r="D60" i="13" s="1"/>
  <c r="F27" i="13"/>
  <c r="D61" i="13" s="1"/>
  <c r="F19" i="13"/>
  <c r="D59" i="13" s="1"/>
  <c r="F15" i="13"/>
  <c r="D58" i="13" s="1"/>
  <c r="F9" i="13"/>
  <c r="D5" i="13"/>
  <c r="D6" i="12"/>
  <c r="D5" i="11"/>
  <c r="D24" i="11" s="1"/>
  <c r="D43" i="11" s="1"/>
  <c r="D25" i="11"/>
  <c r="D44" i="11" s="1"/>
  <c r="G50" i="11"/>
  <c r="G49" i="11"/>
  <c r="G48" i="11"/>
  <c r="G47" i="11"/>
  <c r="G31" i="11"/>
  <c r="G30" i="11"/>
  <c r="G29" i="11"/>
  <c r="G28" i="11"/>
  <c r="G12" i="11"/>
  <c r="G11" i="11"/>
  <c r="G10" i="11"/>
  <c r="G9" i="11"/>
  <c r="D4" i="10"/>
  <c r="G84" i="10"/>
  <c r="G83" i="10"/>
  <c r="G82" i="10"/>
  <c r="G81" i="10"/>
  <c r="G80" i="10"/>
  <c r="G79" i="10"/>
  <c r="G78" i="10"/>
  <c r="G77" i="10"/>
  <c r="G74" i="10"/>
  <c r="G73" i="10"/>
  <c r="G72" i="10"/>
  <c r="G71" i="10"/>
  <c r="G70" i="10"/>
  <c r="G69" i="10"/>
  <c r="G68" i="10"/>
  <c r="G67" i="10"/>
  <c r="G66" i="10"/>
  <c r="G65" i="10"/>
  <c r="G64" i="10"/>
  <c r="G63" i="10"/>
  <c r="G61" i="10"/>
  <c r="G60" i="10"/>
  <c r="G59" i="10"/>
  <c r="G58" i="10"/>
  <c r="G57" i="10"/>
  <c r="G56" i="10"/>
  <c r="G55" i="10"/>
  <c r="G54" i="10"/>
  <c r="G53" i="10"/>
  <c r="G52" i="10"/>
  <c r="G51" i="10"/>
  <c r="G50" i="10"/>
  <c r="G49" i="10"/>
  <c r="G48" i="10"/>
  <c r="G47" i="10"/>
  <c r="G46" i="10"/>
  <c r="G45" i="10"/>
  <c r="G44" i="10"/>
  <c r="G43" i="10"/>
  <c r="G42" i="10"/>
  <c r="G41" i="10"/>
  <c r="G39" i="10"/>
  <c r="G38" i="10"/>
  <c r="G37" i="10"/>
  <c r="G36" i="10"/>
  <c r="G34" i="10"/>
  <c r="G33" i="10"/>
  <c r="G32" i="10"/>
  <c r="G31" i="10"/>
  <c r="G30" i="10"/>
  <c r="G29" i="10"/>
  <c r="G28" i="10"/>
  <c r="G27" i="10"/>
  <c r="G26" i="10"/>
  <c r="G25" i="10"/>
  <c r="G24" i="10"/>
  <c r="G23" i="10"/>
  <c r="G22" i="10"/>
  <c r="G21" i="10"/>
  <c r="G20" i="10"/>
  <c r="G19" i="10"/>
  <c r="G17" i="10"/>
  <c r="G16" i="10"/>
  <c r="G15" i="10"/>
  <c r="G14" i="10"/>
  <c r="G13" i="10"/>
  <c r="G12" i="10"/>
  <c r="G11" i="10"/>
  <c r="G10" i="10"/>
  <c r="G9" i="10"/>
  <c r="G8" i="10"/>
  <c r="D5" i="9"/>
  <c r="G12" i="9"/>
  <c r="G11" i="9"/>
  <c r="G10" i="9"/>
  <c r="G9" i="9"/>
  <c r="C5" i="8"/>
  <c r="F85" i="8"/>
  <c r="F84" i="8"/>
  <c r="F83" i="8"/>
  <c r="F82" i="8"/>
  <c r="F81" i="8"/>
  <c r="F80" i="8"/>
  <c r="F79" i="8"/>
  <c r="F78" i="8"/>
  <c r="F75" i="8"/>
  <c r="F74" i="8"/>
  <c r="F73" i="8"/>
  <c r="F72" i="8"/>
  <c r="F71" i="8"/>
  <c r="F70" i="8"/>
  <c r="F69" i="8"/>
  <c r="F68" i="8"/>
  <c r="F67" i="8"/>
  <c r="F66" i="8"/>
  <c r="F65" i="8"/>
  <c r="F64" i="8"/>
  <c r="F62" i="8"/>
  <c r="F61" i="8"/>
  <c r="F60" i="8"/>
  <c r="F59" i="8"/>
  <c r="F58" i="8"/>
  <c r="F57" i="8"/>
  <c r="F56" i="8"/>
  <c r="F55" i="8"/>
  <c r="F54" i="8"/>
  <c r="F53" i="8"/>
  <c r="F52" i="8"/>
  <c r="F51" i="8"/>
  <c r="F50" i="8"/>
  <c r="F49" i="8"/>
  <c r="F48" i="8"/>
  <c r="F47" i="8"/>
  <c r="F46" i="8"/>
  <c r="F45" i="8"/>
  <c r="F44" i="8"/>
  <c r="F43" i="8"/>
  <c r="F42" i="8"/>
  <c r="F40" i="8"/>
  <c r="F39" i="8"/>
  <c r="F38" i="8"/>
  <c r="F37" i="8"/>
  <c r="F35" i="8"/>
  <c r="F34" i="8"/>
  <c r="F33" i="8"/>
  <c r="F32" i="8"/>
  <c r="F31" i="8"/>
  <c r="F30" i="8"/>
  <c r="F29" i="8"/>
  <c r="F28" i="8"/>
  <c r="F27" i="8"/>
  <c r="F26" i="8"/>
  <c r="F25" i="8"/>
  <c r="F24" i="8"/>
  <c r="F23" i="8"/>
  <c r="F22" i="8"/>
  <c r="F21" i="8"/>
  <c r="F20" i="8"/>
  <c r="F18" i="8"/>
  <c r="F17" i="8"/>
  <c r="F16" i="8"/>
  <c r="F15" i="8"/>
  <c r="F14" i="8"/>
  <c r="F13" i="8"/>
  <c r="F12" i="8"/>
  <c r="F11" i="8"/>
  <c r="F10" i="8"/>
  <c r="F9" i="8"/>
  <c r="E4" i="3"/>
  <c r="E4" i="4"/>
  <c r="D5" i="5"/>
  <c r="D4" i="6"/>
  <c r="G123" i="6"/>
  <c r="G122" i="6"/>
  <c r="G121" i="6"/>
  <c r="G120" i="6"/>
  <c r="G119" i="6"/>
  <c r="G116" i="6"/>
  <c r="G115" i="6"/>
  <c r="G114" i="6"/>
  <c r="G113" i="6"/>
  <c r="G112" i="6"/>
  <c r="G111" i="6"/>
  <c r="G110" i="6"/>
  <c r="G109" i="6"/>
  <c r="G108" i="6"/>
  <c r="G107" i="6"/>
  <c r="G106" i="6"/>
  <c r="G105" i="6"/>
  <c r="G103" i="6"/>
  <c r="G102" i="6"/>
  <c r="G101" i="6"/>
  <c r="G100" i="6"/>
  <c r="G99" i="6"/>
  <c r="G95" i="6"/>
  <c r="G94" i="6"/>
  <c r="G93" i="6"/>
  <c r="G92" i="6"/>
  <c r="G91" i="6"/>
  <c r="G90" i="6"/>
  <c r="G89" i="6"/>
  <c r="G88" i="6"/>
  <c r="G87" i="6"/>
  <c r="G86" i="6"/>
  <c r="G85" i="6"/>
  <c r="G84" i="6"/>
  <c r="G83" i="6"/>
  <c r="G82" i="6"/>
  <c r="G81" i="6"/>
  <c r="G80" i="6"/>
  <c r="G79" i="6"/>
  <c r="G78" i="6"/>
  <c r="G77" i="6"/>
  <c r="G76" i="6"/>
  <c r="G75" i="6"/>
  <c r="G73" i="6"/>
  <c r="G72" i="6"/>
  <c r="G71" i="6"/>
  <c r="G70" i="6"/>
  <c r="G69" i="6"/>
  <c r="G68" i="6"/>
  <c r="G67" i="6"/>
  <c r="G66" i="6"/>
  <c r="G65" i="6"/>
  <c r="G64" i="6"/>
  <c r="G63" i="6"/>
  <c r="G62" i="6"/>
  <c r="G61" i="6"/>
  <c r="G60" i="6"/>
  <c r="G59" i="6"/>
  <c r="G58" i="6"/>
  <c r="G57" i="6"/>
  <c r="G56" i="6"/>
  <c r="G55" i="6"/>
  <c r="G52" i="6"/>
  <c r="G51" i="6"/>
  <c r="G50" i="6"/>
  <c r="G49" i="6"/>
  <c r="G48" i="6"/>
  <c r="G47" i="6"/>
  <c r="G46" i="6"/>
  <c r="G45" i="6"/>
  <c r="G44" i="6"/>
  <c r="G43" i="6"/>
  <c r="G42" i="6"/>
  <c r="G41" i="6"/>
  <c r="G39" i="6"/>
  <c r="G38" i="6"/>
  <c r="G37" i="6"/>
  <c r="G36" i="6"/>
  <c r="G35" i="6"/>
  <c r="G33" i="6"/>
  <c r="G32" i="6"/>
  <c r="G29" i="6"/>
  <c r="G28" i="6"/>
  <c r="G27" i="6"/>
  <c r="G26" i="6"/>
  <c r="G25" i="6"/>
  <c r="G22" i="6"/>
  <c r="G21" i="6"/>
  <c r="G20" i="6"/>
  <c r="G19" i="6"/>
  <c r="G18" i="6"/>
  <c r="G16" i="6"/>
  <c r="G15" i="6"/>
  <c r="G14" i="6"/>
  <c r="G13" i="6"/>
  <c r="G10" i="6"/>
  <c r="G9" i="6"/>
  <c r="G8" i="6"/>
  <c r="E14" i="5"/>
  <c r="E15" i="5"/>
  <c r="E16" i="5"/>
  <c r="E17" i="5"/>
  <c r="E18" i="5"/>
  <c r="E19" i="5"/>
  <c r="E20" i="5"/>
  <c r="E21" i="5"/>
  <c r="C9" i="5"/>
  <c r="D9" i="5"/>
  <c r="C10" i="5"/>
  <c r="D10" i="5"/>
  <c r="C11" i="5"/>
  <c r="D11" i="5"/>
  <c r="C12" i="5"/>
  <c r="D12" i="5"/>
  <c r="C13" i="5"/>
  <c r="D13" i="5"/>
  <c r="C14" i="5"/>
  <c r="D14" i="5"/>
  <c r="C15" i="5"/>
  <c r="D15" i="5"/>
  <c r="C16" i="5"/>
  <c r="D16" i="5"/>
  <c r="C17" i="5"/>
  <c r="D17" i="5"/>
  <c r="C18" i="5"/>
  <c r="D18" i="5"/>
  <c r="C19" i="5"/>
  <c r="D19" i="5"/>
  <c r="C20" i="5"/>
  <c r="D20" i="5"/>
  <c r="C21" i="5"/>
  <c r="D21" i="5"/>
  <c r="G33" i="11" l="1"/>
  <c r="G35" i="11" s="1"/>
  <c r="F41" i="13"/>
  <c r="F42" i="13" s="1"/>
  <c r="D57" i="13"/>
  <c r="G9" i="5" a="1"/>
  <c r="G9" i="5" s="1"/>
  <c r="G52" i="11"/>
  <c r="D15" i="12" s="1"/>
  <c r="D29" i="12" s="1"/>
  <c r="E29" i="12" s="1"/>
  <c r="G90" i="10"/>
  <c r="G92" i="10" s="1"/>
  <c r="D13" i="12" s="1"/>
  <c r="D27" i="12" s="1"/>
  <c r="E27" i="12" s="1"/>
  <c r="G14" i="9"/>
  <c r="D12" i="12" s="1"/>
  <c r="D26" i="12" s="1"/>
  <c r="E26" i="12" s="1"/>
  <c r="I168" i="14"/>
  <c r="G13" i="11"/>
  <c r="G15" i="11" s="1"/>
  <c r="G36" i="11" s="1"/>
  <c r="D14" i="12" s="1"/>
  <c r="D28" i="12" s="1"/>
  <c r="E28" i="12" s="1"/>
  <c r="E16" i="15" s="1"/>
  <c r="G129" i="6"/>
  <c r="D10" i="12" s="1"/>
  <c r="D24" i="12" s="1"/>
  <c r="E24" i="12" s="1"/>
  <c r="G12" i="15" s="1"/>
  <c r="D15" i="16" s="1"/>
  <c r="G15" i="16" s="1"/>
  <c r="F91" i="8"/>
  <c r="D11" i="12" s="1"/>
  <c r="D25" i="12" s="1"/>
  <c r="E25" i="12" s="1"/>
  <c r="E13" i="15" s="1"/>
  <c r="G55" i="5"/>
  <c r="G53" i="5"/>
  <c r="G52" i="5"/>
  <c r="G56" i="5"/>
  <c r="G54" i="5"/>
  <c r="H155" i="14" l="1"/>
  <c r="G19" i="15" s="1"/>
  <c r="D22" i="16" s="1"/>
  <c r="G22" i="16" s="1"/>
  <c r="J10" i="5"/>
  <c r="J18" i="5"/>
  <c r="J26" i="5"/>
  <c r="J34" i="5"/>
  <c r="J11" i="5"/>
  <c r="J27" i="5"/>
  <c r="J35" i="5"/>
  <c r="J33" i="5"/>
  <c r="J19" i="5"/>
  <c r="J12" i="5"/>
  <c r="J20" i="5"/>
  <c r="J28" i="5"/>
  <c r="J36" i="5"/>
  <c r="J13" i="5"/>
  <c r="J21" i="5"/>
  <c r="J29" i="5"/>
  <c r="J37" i="5"/>
  <c r="J14" i="5"/>
  <c r="J22" i="5"/>
  <c r="J30" i="5"/>
  <c r="J38" i="5"/>
  <c r="J17" i="5"/>
  <c r="J15" i="5"/>
  <c r="J23" i="5"/>
  <c r="J31" i="5"/>
  <c r="J9" i="5"/>
  <c r="J25" i="5"/>
  <c r="J16" i="5"/>
  <c r="J24" i="5"/>
  <c r="J32" i="5"/>
  <c r="G13" i="15"/>
  <c r="D16" i="16" s="1"/>
  <c r="G16" i="16" s="1"/>
  <c r="G14" i="15"/>
  <c r="D17" i="16" s="1"/>
  <c r="G17" i="16" s="1"/>
  <c r="E14" i="15"/>
  <c r="G15" i="15"/>
  <c r="D18" i="16" s="1"/>
  <c r="G18" i="16" s="1"/>
  <c r="E15" i="15"/>
  <c r="G17" i="15"/>
  <c r="D20" i="16" s="1"/>
  <c r="G20" i="16" s="1"/>
  <c r="E17" i="15"/>
  <c r="G16" i="15"/>
  <c r="D19" i="16" s="1"/>
  <c r="G19" i="16" s="1"/>
  <c r="E12" i="15"/>
  <c r="G18" i="15"/>
  <c r="D21" i="16" s="1"/>
  <c r="G21" i="16" s="1"/>
  <c r="E18" i="15"/>
  <c r="E19" i="15" l="1"/>
  <c r="D8" i="15"/>
  <c r="D9" i="15"/>
  <c r="D10" i="15"/>
  <c r="D11" i="15"/>
  <c r="D7" i="15"/>
  <c r="L9" i="5" l="1" a="1"/>
  <c r="D44" i="5" s="1"/>
  <c r="S13" i="5" l="1"/>
  <c r="T13" i="5"/>
  <c r="U13" i="5" s="1"/>
  <c r="V13" i="5" s="1"/>
  <c r="W13" i="5" s="1"/>
  <c r="T17" i="5"/>
  <c r="U17" i="5" s="1"/>
  <c r="V17" i="5" s="1"/>
  <c r="W17" i="5" s="1"/>
  <c r="T21" i="5"/>
  <c r="U21" i="5" s="1"/>
  <c r="V21" i="5" s="1"/>
  <c r="W21" i="5" s="1"/>
  <c r="T25" i="5"/>
  <c r="U25" i="5" s="1"/>
  <c r="V25" i="5" s="1"/>
  <c r="W25" i="5" s="1"/>
  <c r="T29" i="5"/>
  <c r="U29" i="5" s="1"/>
  <c r="V29" i="5" s="1"/>
  <c r="W29" i="5" s="1"/>
  <c r="T33" i="5"/>
  <c r="U33" i="5" s="1"/>
  <c r="V33" i="5" s="1"/>
  <c r="W33" i="5" s="1"/>
  <c r="S10" i="5"/>
  <c r="S14" i="5"/>
  <c r="S18" i="5"/>
  <c r="S22" i="5"/>
  <c r="S26" i="5"/>
  <c r="S30" i="5"/>
  <c r="S34" i="5"/>
  <c r="S38" i="5"/>
  <c r="S20" i="5"/>
  <c r="S36" i="5"/>
  <c r="T10" i="5"/>
  <c r="U10" i="5" s="1"/>
  <c r="V10" i="5" s="1"/>
  <c r="W10" i="5" s="1"/>
  <c r="T14" i="5"/>
  <c r="U14" i="5" s="1"/>
  <c r="V14" i="5" s="1"/>
  <c r="W14" i="5" s="1"/>
  <c r="T18" i="5"/>
  <c r="U18" i="5" s="1"/>
  <c r="V18" i="5" s="1"/>
  <c r="W18" i="5" s="1"/>
  <c r="T22" i="5"/>
  <c r="U22" i="5" s="1"/>
  <c r="V22" i="5" s="1"/>
  <c r="W22" i="5" s="1"/>
  <c r="T26" i="5"/>
  <c r="U26" i="5" s="1"/>
  <c r="V26" i="5" s="1"/>
  <c r="W26" i="5" s="1"/>
  <c r="T30" i="5"/>
  <c r="U30" i="5" s="1"/>
  <c r="V30" i="5" s="1"/>
  <c r="W30" i="5" s="1"/>
  <c r="T34" i="5"/>
  <c r="U34" i="5" s="1"/>
  <c r="V34" i="5" s="1"/>
  <c r="W34" i="5" s="1"/>
  <c r="T38" i="5"/>
  <c r="U38" i="5" s="1"/>
  <c r="V38" i="5" s="1"/>
  <c r="W38" i="5" s="1"/>
  <c r="T15" i="5"/>
  <c r="U15" i="5" s="1"/>
  <c r="V15" i="5" s="1"/>
  <c r="W15" i="5" s="1"/>
  <c r="T23" i="5"/>
  <c r="U23" i="5" s="1"/>
  <c r="V23" i="5" s="1"/>
  <c r="W23" i="5" s="1"/>
  <c r="T31" i="5"/>
  <c r="U31" i="5" s="1"/>
  <c r="V31" i="5" s="1"/>
  <c r="W31" i="5" s="1"/>
  <c r="T35" i="5"/>
  <c r="U35" i="5" s="1"/>
  <c r="V35" i="5" s="1"/>
  <c r="W35" i="5" s="1"/>
  <c r="S16" i="5"/>
  <c r="S28" i="5"/>
  <c r="S11" i="5"/>
  <c r="S15" i="5"/>
  <c r="S19" i="5"/>
  <c r="S23" i="5"/>
  <c r="S27" i="5"/>
  <c r="S31" i="5"/>
  <c r="S35" i="5"/>
  <c r="T9" i="5"/>
  <c r="U9" i="5" s="1"/>
  <c r="V9" i="5" s="1"/>
  <c r="W9" i="5" s="1"/>
  <c r="T19" i="5"/>
  <c r="U19" i="5" s="1"/>
  <c r="V19" i="5" s="1"/>
  <c r="W19" i="5" s="1"/>
  <c r="T27" i="5"/>
  <c r="U27" i="5" s="1"/>
  <c r="V27" i="5" s="1"/>
  <c r="W27" i="5" s="1"/>
  <c r="S9" i="5"/>
  <c r="S24" i="5"/>
  <c r="S32" i="5"/>
  <c r="T11" i="5"/>
  <c r="U11" i="5" s="1"/>
  <c r="V11" i="5" s="1"/>
  <c r="W11" i="5" s="1"/>
  <c r="S12" i="5"/>
  <c r="T12" i="5"/>
  <c r="U12" i="5" s="1"/>
  <c r="V12" i="5" s="1"/>
  <c r="W12" i="5" s="1"/>
  <c r="T16" i="5"/>
  <c r="U16" i="5" s="1"/>
  <c r="V16" i="5" s="1"/>
  <c r="W16" i="5" s="1"/>
  <c r="T20" i="5"/>
  <c r="U20" i="5" s="1"/>
  <c r="V20" i="5" s="1"/>
  <c r="W20" i="5" s="1"/>
  <c r="T24" i="5"/>
  <c r="U24" i="5" s="1"/>
  <c r="V24" i="5" s="1"/>
  <c r="W24" i="5" s="1"/>
  <c r="T28" i="5"/>
  <c r="U28" i="5" s="1"/>
  <c r="V28" i="5" s="1"/>
  <c r="W28" i="5" s="1"/>
  <c r="T32" i="5"/>
  <c r="U32" i="5" s="1"/>
  <c r="V32" i="5" s="1"/>
  <c r="W32" i="5" s="1"/>
  <c r="T36" i="5"/>
  <c r="U36" i="5" s="1"/>
  <c r="V36" i="5" s="1"/>
  <c r="W36" i="5" s="1"/>
  <c r="S17" i="5"/>
  <c r="S21" i="5"/>
  <c r="S25" i="5"/>
  <c r="S29" i="5"/>
  <c r="S33" i="5"/>
  <c r="S37" i="5"/>
  <c r="T37" i="5"/>
  <c r="U37" i="5" s="1"/>
  <c r="V37" i="5" s="1"/>
  <c r="W37" i="5" s="1"/>
  <c r="L9" i="5"/>
  <c r="P21" i="5" l="1"/>
  <c r="Q21" i="5" s="1"/>
  <c r="P13" i="5"/>
  <c r="Q13" i="5" s="1"/>
  <c r="P29" i="5"/>
  <c r="Q29" i="5" s="1"/>
  <c r="P38" i="5"/>
  <c r="Q38" i="5" s="1"/>
  <c r="P14" i="5"/>
  <c r="Q14" i="5" s="1"/>
  <c r="P22" i="5"/>
  <c r="Q22" i="5" s="1"/>
  <c r="P30" i="5"/>
  <c r="Q30" i="5" s="1"/>
  <c r="P15" i="5"/>
  <c r="Q15" i="5" s="1"/>
  <c r="D48" i="5" s="1"/>
  <c r="P10" i="5"/>
  <c r="P28" i="5"/>
  <c r="Q28" i="5" s="1"/>
  <c r="P35" i="5"/>
  <c r="Q35" i="5" s="1"/>
  <c r="P33" i="5"/>
  <c r="Q33" i="5" s="1"/>
  <c r="P20" i="5"/>
  <c r="Q20" i="5" s="1"/>
  <c r="P27" i="5"/>
  <c r="Q27" i="5" s="1"/>
  <c r="P25" i="5"/>
  <c r="Q25" i="5" s="1"/>
  <c r="P32" i="5"/>
  <c r="Q32" i="5" s="1"/>
  <c r="P37" i="5"/>
  <c r="Q37" i="5" s="1"/>
  <c r="P12" i="5"/>
  <c r="Q12" i="5" s="1"/>
  <c r="P19" i="5"/>
  <c r="Q19" i="5" s="1"/>
  <c r="P34" i="5"/>
  <c r="Q34" i="5" s="1"/>
  <c r="P17" i="5"/>
  <c r="Q17" i="5" s="1"/>
  <c r="P24" i="5"/>
  <c r="Q24" i="5" s="1"/>
  <c r="P36" i="5"/>
  <c r="Q36" i="5" s="1"/>
  <c r="P11" i="5"/>
  <c r="P26" i="5"/>
  <c r="Q26" i="5" s="1"/>
  <c r="P16" i="5"/>
  <c r="Q16" i="5" s="1"/>
  <c r="P18" i="5"/>
  <c r="Q18" i="5" s="1"/>
  <c r="P31" i="5"/>
  <c r="Q31" i="5" s="1"/>
  <c r="P23" i="5"/>
  <c r="Q23" i="5" s="1"/>
  <c r="D56" i="5" l="1"/>
  <c r="D57" i="5"/>
  <c r="D55" i="5"/>
  <c r="D52" i="5"/>
  <c r="D53" i="5"/>
  <c r="D54" i="5"/>
  <c r="Q10" i="5"/>
  <c r="Q11" i="5"/>
  <c r="P9" i="5" l="1"/>
  <c r="Q9" i="5" s="1"/>
  <c r="C54" i="5" l="1"/>
  <c r="E54" i="5" s="1"/>
  <c r="F9" i="15" s="1"/>
  <c r="E12" i="16" s="1"/>
  <c r="G12" i="16" s="1"/>
  <c r="C57" i="5"/>
  <c r="E57" i="5" s="1"/>
  <c r="C55" i="5"/>
  <c r="E55" i="5" s="1"/>
  <c r="F10" i="15" s="1"/>
  <c r="E13" i="16" s="1"/>
  <c r="G13" i="16" s="1"/>
  <c r="C53" i="5"/>
  <c r="E53" i="5" s="1"/>
  <c r="F8" i="15" s="1"/>
  <c r="E11" i="16" s="1"/>
  <c r="G11" i="16" s="1"/>
  <c r="C52" i="5"/>
  <c r="E52" i="5" s="1"/>
  <c r="F7" i="15" s="1"/>
  <c r="E10" i="16" s="1"/>
  <c r="G10" i="16" s="1"/>
  <c r="C56" i="5"/>
  <c r="E56" i="5" s="1"/>
  <c r="F11" i="15" s="1"/>
  <c r="E14" i="16" s="1"/>
  <c r="G14" i="16" s="1"/>
  <c r="G23" i="16" l="1"/>
  <c r="D34"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Neil Gillan</author>
  </authors>
  <commentList>
    <comment ref="C118" authorId="0" shapeId="0" xr:uid="{2392044B-6518-44E4-AA84-6D3EF496A80B}">
      <text>
        <r>
          <rPr>
            <sz val="9"/>
            <color indexed="81"/>
            <rFont val="Tahoma"/>
            <family val="2"/>
          </rPr>
          <t>The EA will publish, on its web site, thresholds for certain additional substances that may be released to air.  In each case substances will be placed into tables with fixed release thresholds, as shown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Neil Gillan</author>
  </authors>
  <commentList>
    <comment ref="B77" authorId="0" shapeId="0" xr:uid="{6F742DBE-D71E-4B79-A382-B5D71839DB0B}">
      <text>
        <r>
          <rPr>
            <sz val="9"/>
            <color indexed="81"/>
            <rFont val="Tahoma"/>
            <family val="2"/>
          </rPr>
          <t>Please contact NRW for information on thresholds for certain additional substances that may be released to water.  In each case substances will be placed into tables with fixed release thresholds, as shown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Neil Gillan</author>
  </authors>
  <commentList>
    <comment ref="C76" authorId="0" shapeId="0" xr:uid="{13760726-B9C4-43F9-A867-643C2B75AE79}">
      <text>
        <r>
          <rPr>
            <sz val="9"/>
            <color indexed="81"/>
            <rFont val="Tahoma"/>
            <family val="2"/>
          </rPr>
          <t>The EA will publish, on its web site, thresholds for certain additional substances that may be released to sewer.  In each case substances will be placed into tables with fixed release thresholds, as shown below.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<sst xmlns="http://schemas.openxmlformats.org/spreadsheetml/2006/main" count="1490" uniqueCount="798">
  <si>
    <t>Operational Risk Appraisal (Opra) for Installations under EPR</t>
  </si>
  <si>
    <t>Version</t>
  </si>
  <si>
    <t>Listed Activities</t>
  </si>
  <si>
    <t>Emissions Summary</t>
  </si>
  <si>
    <t xml:space="preserve">Please refer to the Opra Scheme for Installations for the look-up tables and guidance.
Use abbreviated descriptions, select the Schedule 1 references and bands from the pick lists provided.
</t>
  </si>
  <si>
    <t>Location</t>
  </si>
  <si>
    <t>Operational Management</t>
  </si>
  <si>
    <t>Other Activities</t>
  </si>
  <si>
    <t>Opra Summary</t>
  </si>
  <si>
    <t>Complexities</t>
  </si>
  <si>
    <t>Emissions to Air</t>
  </si>
  <si>
    <t>Calculation</t>
  </si>
  <si>
    <t>Emissions to Water</t>
  </si>
  <si>
    <t>Emissions to Land</t>
  </si>
  <si>
    <t>Emissions to Sewer</t>
  </si>
  <si>
    <t>Emissions to Waste</t>
  </si>
  <si>
    <t>CinC</t>
  </si>
  <si>
    <t>Yes</t>
  </si>
  <si>
    <t>No</t>
  </si>
  <si>
    <t>Colour coding</t>
  </si>
  <si>
    <t>Free text</t>
  </si>
  <si>
    <t>Pick List</t>
  </si>
  <si>
    <t>Guidance link available</t>
  </si>
  <si>
    <t>Does this document contain information that is commercial in confidence ?</t>
  </si>
  <si>
    <t>Listed Activities - Complexity Attribute</t>
  </si>
  <si>
    <r>
      <t xml:space="preserve">Former Permit Ref  </t>
    </r>
    <r>
      <rPr>
        <b/>
        <sz val="8"/>
        <color indexed="42"/>
        <rFont val="Arial"/>
        <family val="2"/>
      </rPr>
      <t xml:space="preserve"> (If applicable)</t>
    </r>
  </si>
  <si>
    <t>Description of Activity</t>
  </si>
  <si>
    <t>Schedule 1 Reference</t>
  </si>
  <si>
    <t xml:space="preserve">Regulatory Complexity </t>
  </si>
  <si>
    <t>Totals before any rules are applied</t>
  </si>
  <si>
    <t>C</t>
  </si>
  <si>
    <t>A</t>
  </si>
  <si>
    <t>B</t>
  </si>
  <si>
    <t>D</t>
  </si>
  <si>
    <t>E</t>
  </si>
  <si>
    <t>1.2 Part A (1) c) (A)</t>
  </si>
  <si>
    <t>2.1 Part A (1) a)</t>
  </si>
  <si>
    <t>2.1 Part A (1) c)</t>
  </si>
  <si>
    <t>2.1 Part A (1) d)</t>
  </si>
  <si>
    <t>2.3 Part A (1) a)</t>
  </si>
  <si>
    <t>5.3 Part A (1) a) (i)</t>
  </si>
  <si>
    <t>5.4 Part A (1) b) (iii)</t>
  </si>
  <si>
    <t>If there is insufficient space please attach a paper record</t>
  </si>
  <si>
    <t>Introduction</t>
  </si>
  <si>
    <t>Listed activity</t>
  </si>
  <si>
    <t>Schedule 1</t>
  </si>
  <si>
    <t>Complexcity</t>
  </si>
  <si>
    <t>Organisation Name:</t>
  </si>
  <si>
    <t>Aggregation
Group</t>
  </si>
  <si>
    <t>Description</t>
  </si>
  <si>
    <t>Schedule 1 Ref</t>
  </si>
  <si>
    <t>Complexity</t>
  </si>
  <si>
    <t xml:space="preserve">Rule 4 </t>
  </si>
  <si>
    <t>Not Applied</t>
  </si>
  <si>
    <t>Enter description of Activity</t>
  </si>
  <si>
    <t>Part A2 or Part B</t>
  </si>
  <si>
    <t>Other activities</t>
  </si>
  <si>
    <t>Schedule activiites</t>
  </si>
  <si>
    <t>1.2 Part A(2) (a)</t>
  </si>
  <si>
    <t>1.2 Part B a)</t>
  </si>
  <si>
    <t>1.2 Part B b)</t>
  </si>
  <si>
    <t>1.2 Part B c)</t>
  </si>
  <si>
    <t>1.1 Part B a)</t>
  </si>
  <si>
    <t>1.1 Part B b)</t>
  </si>
  <si>
    <t>1.1 Part B c) ii)</t>
  </si>
  <si>
    <t>1.1 Part B c) i)</t>
  </si>
  <si>
    <t>1.2 Part B d)</t>
  </si>
  <si>
    <t>2.1 Part A(2) (a)</t>
  </si>
  <si>
    <t>2.1 Part A(2) (b)</t>
  </si>
  <si>
    <t>2.1 Part A(2) (c)</t>
  </si>
  <si>
    <t>2.1 Part A(2) (d)</t>
  </si>
  <si>
    <t>2.1 Part B a)</t>
  </si>
  <si>
    <t>2.1 Part B b) i)</t>
  </si>
  <si>
    <t>2.1 Part B b) ii)</t>
  </si>
  <si>
    <t>PartA2</t>
  </si>
  <si>
    <t>PartB</t>
  </si>
  <si>
    <t>Rule 4</t>
  </si>
  <si>
    <t>Aggregation Group</t>
  </si>
  <si>
    <t>EPR- Installations Charging Scheme Complexity - Application of Rules</t>
  </si>
  <si>
    <r>
      <t xml:space="preserve">Former Permit Ref     </t>
    </r>
    <r>
      <rPr>
        <b/>
        <sz val="8"/>
        <color indexed="42"/>
        <rFont val="Arial"/>
        <family val="2"/>
      </rPr>
      <t>(if applicable)</t>
    </r>
  </si>
  <si>
    <t>Description / 
Aggregation
Group</t>
  </si>
  <si>
    <t>Schedule 1
Ref</t>
  </si>
  <si>
    <t>*Capped</t>
  </si>
  <si>
    <t/>
  </si>
  <si>
    <t>Summary of Rules Applied</t>
  </si>
  <si>
    <t>These totals will be carried forward and used to calculate the Opra Risk Summary and Calculation of Charges</t>
  </si>
  <si>
    <t>Rule 3</t>
  </si>
  <si>
    <t>Rule 5</t>
  </si>
  <si>
    <t>Rule 6</t>
  </si>
  <si>
    <t>Rule 7</t>
  </si>
  <si>
    <t>Scores after Rules applied (Used for calculation of Charges)</t>
  </si>
  <si>
    <t>Scores before rules applied (Used for summary of Risk)</t>
  </si>
  <si>
    <t>First 6 Complexities</t>
  </si>
  <si>
    <t>Remaining
 complexities</t>
  </si>
  <si>
    <t>Total</t>
  </si>
  <si>
    <t>capped Unsorted</t>
  </si>
  <si>
    <t>capped sorted</t>
  </si>
  <si>
    <t>Emissions Attribute - Releases to Air</t>
  </si>
  <si>
    <t>Please check that the data is entered in the correct units.
The Emission Index will only show if the data entered exceeds the threshold.</t>
  </si>
  <si>
    <t>Please tick box if this sheet is applicable</t>
  </si>
  <si>
    <t>Substance</t>
  </si>
  <si>
    <t>Units</t>
  </si>
  <si>
    <t>Emission Threshold</t>
  </si>
  <si>
    <t>Maximum Quantity</t>
  </si>
  <si>
    <t>Emission Index</t>
  </si>
  <si>
    <t>Notes</t>
  </si>
  <si>
    <t>Oxides of Sulphur</t>
  </si>
  <si>
    <t>Tonnes Year</t>
  </si>
  <si>
    <t>Oxides of Nitrogen</t>
  </si>
  <si>
    <t>Carbon Monoxide</t>
  </si>
  <si>
    <t>Beryllium</t>
  </si>
  <si>
    <t>Kg year</t>
  </si>
  <si>
    <t>Cadmium</t>
  </si>
  <si>
    <t>Lead</t>
  </si>
  <si>
    <t>Mercury</t>
  </si>
  <si>
    <t>Antimony</t>
  </si>
  <si>
    <t>Arsenic</t>
  </si>
  <si>
    <t>Chromium</t>
  </si>
  <si>
    <t>Nickel</t>
  </si>
  <si>
    <t>Selenium</t>
  </si>
  <si>
    <t>Other Metals Specify</t>
  </si>
  <si>
    <t>Copper</t>
  </si>
  <si>
    <t>Zinc</t>
  </si>
  <si>
    <t>Organic Compounds</t>
  </si>
  <si>
    <t>Dioxins and Furans</t>
  </si>
  <si>
    <t>mg TEQ year</t>
  </si>
  <si>
    <t>PCBs</t>
  </si>
  <si>
    <t>mg TEF year</t>
  </si>
  <si>
    <t>PAHs as benzo(a)pyrene</t>
  </si>
  <si>
    <t>Phosgene</t>
  </si>
  <si>
    <t xml:space="preserve">Isocyanates </t>
  </si>
  <si>
    <t>Di-ethyl sulphate</t>
  </si>
  <si>
    <t>Di-methyl sulphate</t>
  </si>
  <si>
    <t>Acrylonitrile</t>
  </si>
  <si>
    <t>Aniline</t>
  </si>
  <si>
    <t>Benzene</t>
  </si>
  <si>
    <t>Benzyl Chloride</t>
  </si>
  <si>
    <t>1-chloro-2,3-epoxypropane</t>
  </si>
  <si>
    <t>Chloroform</t>
  </si>
  <si>
    <t>Cyanamide</t>
  </si>
  <si>
    <t>Ethylene oxide</t>
  </si>
  <si>
    <t>Formaldehyde</t>
  </si>
  <si>
    <t>Maleic anhydride</t>
  </si>
  <si>
    <t>Nitrobenzene</t>
  </si>
  <si>
    <t>Allyl alcohol</t>
  </si>
  <si>
    <t>Acetaldehyde</t>
  </si>
  <si>
    <t>Acetonitrile</t>
  </si>
  <si>
    <t>Benzene-1,2,4-tricarboxylic acid,1,2-anhydride</t>
  </si>
  <si>
    <t>1,3-butadiene</t>
  </si>
  <si>
    <t>Chloroethene</t>
  </si>
  <si>
    <t>1,2-dichloroethane</t>
  </si>
  <si>
    <t>Dimethylformamide</t>
  </si>
  <si>
    <t>1,4-dioxane</t>
  </si>
  <si>
    <t>2-ethyoxyethanol</t>
  </si>
  <si>
    <t>2-ethyoxyethylecetate</t>
  </si>
  <si>
    <t>Ethyl acrylate</t>
  </si>
  <si>
    <t>Iodomethane</t>
  </si>
  <si>
    <t>Methylamine</t>
  </si>
  <si>
    <t>2-nitropropane</t>
  </si>
  <si>
    <t>Phenol</t>
  </si>
  <si>
    <t>Propylene oxide</t>
  </si>
  <si>
    <t>HFC's</t>
  </si>
  <si>
    <t>HCFC's</t>
  </si>
  <si>
    <t>PFC's</t>
  </si>
  <si>
    <t>Benzaldehyde</t>
  </si>
  <si>
    <t>Benzo(a)pyrene</t>
  </si>
  <si>
    <t>Butene</t>
  </si>
  <si>
    <t>Chloromethane</t>
  </si>
  <si>
    <t>1,4-dichlorobenzene</t>
  </si>
  <si>
    <t>Dichloromethane</t>
  </si>
  <si>
    <t>Ethyl toluene</t>
  </si>
  <si>
    <t>Ethylene</t>
  </si>
  <si>
    <t>i-butyraldehyde</t>
  </si>
  <si>
    <t>Methyl bromide</t>
  </si>
  <si>
    <t>Pentene</t>
  </si>
  <si>
    <t>Propene</t>
  </si>
  <si>
    <t>Styrene</t>
  </si>
  <si>
    <t>Tetrachloroethane</t>
  </si>
  <si>
    <t>Tetrachloroethene</t>
  </si>
  <si>
    <t>Toluene diamine</t>
  </si>
  <si>
    <t>1,1,1-trichloroethane</t>
  </si>
  <si>
    <t>Trichloroethylene</t>
  </si>
  <si>
    <t>Trichlorotoluene</t>
  </si>
  <si>
    <t>Trimethylbenzene</t>
  </si>
  <si>
    <t>Xylene</t>
  </si>
  <si>
    <t>Other VOCs specify</t>
  </si>
  <si>
    <t>Inorganics</t>
  </si>
  <si>
    <t>Fluorine</t>
  </si>
  <si>
    <t>Chlorine</t>
  </si>
  <si>
    <t>Bromine</t>
  </si>
  <si>
    <t>Iodine</t>
  </si>
  <si>
    <t>Hydrogen Fluoride</t>
  </si>
  <si>
    <t>Hydrogen Bromide</t>
  </si>
  <si>
    <t>Hydrogen Iodide</t>
  </si>
  <si>
    <t>Hydrogen Chloride</t>
  </si>
  <si>
    <t>Hydrogen Sulphide</t>
  </si>
  <si>
    <t>Ammonia</t>
  </si>
  <si>
    <t>Carbon Disulphide</t>
  </si>
  <si>
    <t>Particulates</t>
  </si>
  <si>
    <t>Other inorganic compounds specify</t>
  </si>
  <si>
    <t>Table A1 Substances</t>
  </si>
  <si>
    <t>Table A2 Substances</t>
  </si>
  <si>
    <t>Table A3 Substances</t>
  </si>
  <si>
    <t>Table A4 Substances</t>
  </si>
  <si>
    <t>Table A5 Substances</t>
  </si>
  <si>
    <t>Emissions Attribute - Releases to  Water</t>
  </si>
  <si>
    <t>Aldrin</t>
  </si>
  <si>
    <t>Azinphos-ethyl</t>
  </si>
  <si>
    <t>DDT all isomers</t>
  </si>
  <si>
    <t>Endosulfan</t>
  </si>
  <si>
    <t>Endrin</t>
  </si>
  <si>
    <t>Fenitrothion</t>
  </si>
  <si>
    <t>Fenthion</t>
  </si>
  <si>
    <t>Isodrin</t>
  </si>
  <si>
    <t>Malathion</t>
  </si>
  <si>
    <t>Parathion</t>
  </si>
  <si>
    <t>Azinphos-methyl</t>
  </si>
  <si>
    <t>Chlorfenvinphos</t>
  </si>
  <si>
    <t>Diazinon</t>
  </si>
  <si>
    <t>Dieldrin</t>
  </si>
  <si>
    <t>Hexachlorobenzene</t>
  </si>
  <si>
    <t>Hexachlorocyclohexanes</t>
  </si>
  <si>
    <t>Hexachlorobutadiene</t>
  </si>
  <si>
    <t>Mevinphos</t>
  </si>
  <si>
    <t>Omethoate</t>
  </si>
  <si>
    <t>Parathion methyl</t>
  </si>
  <si>
    <t>Permethrin</t>
  </si>
  <si>
    <t>Polychlorinated biphenyls</t>
  </si>
  <si>
    <t>Triazophos</t>
  </si>
  <si>
    <t>Tributyltin compounds</t>
  </si>
  <si>
    <t>Trifluralin</t>
  </si>
  <si>
    <t>Triphenyltin compounds</t>
  </si>
  <si>
    <t>Atrazin</t>
  </si>
  <si>
    <t>Pentachlorophenol and its compound</t>
  </si>
  <si>
    <t>Simazine</t>
  </si>
  <si>
    <t>Trichlorobenzene all isomers</t>
  </si>
  <si>
    <t>Bentazone</t>
  </si>
  <si>
    <t>Biphenyl</t>
  </si>
  <si>
    <t>Carbon Tetrachloride</t>
  </si>
  <si>
    <t>Chloronitrotoluenes</t>
  </si>
  <si>
    <t>4-Chloro-3-Methylphenol</t>
  </si>
  <si>
    <t>2-Chlorophenol</t>
  </si>
  <si>
    <t>2,4 D non-ester</t>
  </si>
  <si>
    <t>2,4 D ester</t>
  </si>
  <si>
    <t>Demeton</t>
  </si>
  <si>
    <t>1,2-Dichloroethane</t>
  </si>
  <si>
    <t>Dimethoate</t>
  </si>
  <si>
    <t>Linuron</t>
  </si>
  <si>
    <t>Mecoprop</t>
  </si>
  <si>
    <t>Napthalene</t>
  </si>
  <si>
    <t>Tetrachloroethylene</t>
  </si>
  <si>
    <t>1,1,1-Trichloroethane</t>
  </si>
  <si>
    <t>1,1,2-Trichloroethane</t>
  </si>
  <si>
    <t>Nonylphenol Ethoxylate</t>
  </si>
  <si>
    <t>Nonylphenols</t>
  </si>
  <si>
    <t>Octylphenols</t>
  </si>
  <si>
    <t>Toluene</t>
  </si>
  <si>
    <t>Xylenes</t>
  </si>
  <si>
    <t>All consented substances not listed above specify</t>
  </si>
  <si>
    <t>Table W2 Substances</t>
  </si>
  <si>
    <t>Table W3 Substances</t>
  </si>
  <si>
    <t>Table W4 Substances</t>
  </si>
  <si>
    <t>Table W5 Substances</t>
  </si>
  <si>
    <t>Commercial in Confidence
If you need to use these entries please contact your local NRW office</t>
  </si>
  <si>
    <t>Emissions Attribute Releases to Land</t>
  </si>
  <si>
    <t>Substance/Landfill Type</t>
  </si>
  <si>
    <t>Inert waste</t>
  </si>
  <si>
    <t>Tonnes year</t>
  </si>
  <si>
    <t>Non hazardous waste (non biodegradable)</t>
  </si>
  <si>
    <t>Hazardous waste</t>
  </si>
  <si>
    <t>Non hazardous waste (biodegradable)</t>
  </si>
  <si>
    <t>Emissions Attribute - Off-site Disposals to Sewer</t>
  </si>
  <si>
    <t>Maximum 
Quantity</t>
  </si>
  <si>
    <t>chlorfenvinphos</t>
  </si>
  <si>
    <t>Chemical Oxygen Demand</t>
  </si>
  <si>
    <t>Suspended Solids</t>
  </si>
  <si>
    <t>Table S1 Substances</t>
  </si>
  <si>
    <t>Table S2 Substances</t>
  </si>
  <si>
    <t>Table S3 Substances</t>
  </si>
  <si>
    <t>Table S4 Substances</t>
  </si>
  <si>
    <t>Table S5 Substances</t>
  </si>
  <si>
    <t>Weighting Factor</t>
  </si>
  <si>
    <t>(Weighting factor =  0.33)</t>
  </si>
  <si>
    <t>Weighted Total</t>
  </si>
  <si>
    <t>Commercial in Confidence
 If you need to use these entries please contact your local NRW office</t>
  </si>
  <si>
    <t>Emissions Attribute - Off-site Disposals of Waste</t>
  </si>
  <si>
    <t>Emissions Attribute - Off-site Recovery, Recycling, Re-use of Waste</t>
  </si>
  <si>
    <t>(Weighting factor =  0.1)</t>
  </si>
  <si>
    <t>Off-Site Total</t>
  </si>
  <si>
    <t>The table below should only be completed for S5.3 or 5.4 activities.  For these activities the Off-Site Waste tables above should be left blank</t>
  </si>
  <si>
    <t>Emissions Attribute - Waste Input</t>
  </si>
  <si>
    <t>Waste Input Total</t>
  </si>
  <si>
    <t>Emissions Attribute Summary Sheet</t>
  </si>
  <si>
    <t>Pathway</t>
  </si>
  <si>
    <t>Overall Emission Index</t>
  </si>
  <si>
    <t>Air</t>
  </si>
  <si>
    <t>Water</t>
  </si>
  <si>
    <t>Land</t>
  </si>
  <si>
    <t>Sewer</t>
  </si>
  <si>
    <t>Waste Off Site</t>
  </si>
  <si>
    <t>Waste Input</t>
  </si>
  <si>
    <t xml:space="preserve">Pathway </t>
  </si>
  <si>
    <t>Band</t>
  </si>
  <si>
    <t>Location Attribute</t>
  </si>
  <si>
    <t>Parameter</t>
  </si>
  <si>
    <t>Yes/No</t>
  </si>
  <si>
    <t>Available</t>
  </si>
  <si>
    <t>Score</t>
  </si>
  <si>
    <t xml:space="preserve">Human Occupation/Presence:     </t>
  </si>
  <si>
    <t>a) if within 50m of the boundary</t>
  </si>
  <si>
    <t xml:space="preserve"> or:</t>
  </si>
  <si>
    <t>b) if greater than 50m but less than 250m of boundary</t>
  </si>
  <si>
    <t>or:</t>
  </si>
  <si>
    <t>c) if greater than 250m but less than 1km of boundary</t>
  </si>
  <si>
    <t>a) if "relevant" under Habitats Directive</t>
  </si>
  <si>
    <t>or</t>
  </si>
  <si>
    <t>b) if CROW Act 2000 assessment required</t>
  </si>
  <si>
    <t>a) if on an aquifer and within a Groundwater Protection Zone</t>
  </si>
  <si>
    <t xml:space="preserve">b) if on an aquifer and not within a Groundwater Protection Zone </t>
  </si>
  <si>
    <t>a) If there is direct runoff from the site without interceptors or other active control measures</t>
  </si>
  <si>
    <t>b) If as above but there are interceptors or active control measures</t>
  </si>
  <si>
    <t>a) If within an Air Quality Management Zone (AQMZ) and emit</t>
  </si>
  <si>
    <t xml:space="preserve">    pollutant that has been declared for that AQMZ </t>
  </si>
  <si>
    <t>b) If within 2km of an Air Quality Management Zone (AQMZ) and emit</t>
  </si>
  <si>
    <t xml:space="preserve">If within a flood plain </t>
  </si>
  <si>
    <t>Maximum Score = 20
Band A = 0 - 4, B = 5 - 8, C = 9 - 12, D = 13 - 17 and E = 18 - 20</t>
  </si>
  <si>
    <t>Location Attribute Totals</t>
  </si>
  <si>
    <t xml:space="preserve">Occupation </t>
  </si>
  <si>
    <t>Habitats</t>
  </si>
  <si>
    <t>Aquifers</t>
  </si>
  <si>
    <t>Receiving Waters</t>
  </si>
  <si>
    <t>Run Off</t>
  </si>
  <si>
    <t>Air Quality</t>
  </si>
  <si>
    <t>Flood Plain</t>
  </si>
  <si>
    <t>Locaton</t>
  </si>
  <si>
    <t>Operator Performance</t>
  </si>
  <si>
    <t>Points available</t>
  </si>
  <si>
    <t>Points scored</t>
  </si>
  <si>
    <t>Post or group responsible for each requirement</t>
  </si>
  <si>
    <t>Document reference (*) or date by which systems will be in place (*see para 4.4.2)</t>
  </si>
  <si>
    <r>
      <t>Operations and Maintenance section - 20%</t>
    </r>
    <r>
      <rPr>
        <sz val="10"/>
        <rFont val="Arial"/>
        <family val="2"/>
      </rPr>
      <t xml:space="preserve"> </t>
    </r>
  </si>
  <si>
    <t xml:space="preserve">Effective operational and prev maintenance systems shall be employed on all aspects of the process where any failure could impact on the environment.  </t>
  </si>
  <si>
    <t>Are there documented operating procedures for operations that may have an adverse impact on the environment?</t>
  </si>
  <si>
    <t>Is there a defined procedure for identifying, reviewing and prioritising items of plant for which a preventative maintenance regime is appropriate?</t>
  </si>
  <si>
    <t>Are there documented procedures for monitoring emissions or impacts?</t>
  </si>
  <si>
    <t xml:space="preserve">Is there a preventative maintenance programme for those items of plant whose failure could lead to impact on the environment? </t>
  </si>
  <si>
    <t>Does the preventative maintenance programme include regular checks and formal inspections of 'static'  items such as tanks, pipework, retaining walls, bunds and ducts?</t>
  </si>
  <si>
    <t>Do the operations and maintenance systems include auditing environmental performance?</t>
  </si>
  <si>
    <t xml:space="preserve">Are the reports, results and recommendations arising from audits made available to senior management on a regular basis? </t>
  </si>
  <si>
    <t>In the last two years, has there been any notifiable incident or release for which lack of maintenance was a contributory cause ?</t>
  </si>
  <si>
    <t>In the last two years, has there been any notifiable incident or release for which the root cause could not be identified?</t>
  </si>
  <si>
    <t>Operations and Maintenance Total</t>
  </si>
  <si>
    <t xml:space="preserve">Competence and  Training - 20% </t>
  </si>
  <si>
    <t>The Operator shall ensure that all relevant management and operational staff (including contractors and those responsible for purchasing equipment and materials) receive adequate training with regard to their responsibilities under the Permit. Particular attention should be given to the following:</t>
  </si>
  <si>
    <t>   Minimisation of all potential environmental effects from operation under normal, abnormal, start up and shut down circumstances;</t>
  </si>
  <si>
    <t>   Prevention of accidental emissions and action to be taken when accidental emissions occur; and</t>
  </si>
  <si>
    <t>   The need to report deviation from the permit.</t>
  </si>
  <si>
    <t xml:space="preserve">Has a training needs assessment  been carried out which: </t>
  </si>
  <si>
    <t>   Identifies all posts for which   specific environmental awareness training is required; and                                               Identifies the scope and level to which such training is to be given?</t>
  </si>
  <si>
    <t>Are training systems in place for all relevant staff that cover the following factors:</t>
  </si>
  <si>
    <t xml:space="preserve">    the regulatory requirements associated with the Permit as they affect their work activities and responsibilities; </t>
  </si>
  <si>
    <t xml:space="preserve">    likely potential environmental impacts which may be caused by plant under their control. This should cover both normal and abnormal circumstances; </t>
  </si>
  <si>
    <t>    reporting procedures to inform supervisors or managers of deviations from  permit conditions;</t>
  </si>
  <si>
    <t>    prevention of accidental emissions and action to be taken when accidental emissions occur?</t>
  </si>
  <si>
    <t>Are the skills and competencies necessary for key posts documented and are records of training needs and training received maintained?</t>
  </si>
  <si>
    <t>Do the key posts include contractors, those responsible for liaising with contractors and those purchasing equipment and materials?</t>
  </si>
  <si>
    <t>Do you assess the potential environmental risks posed by the work of contractors and provide instructions to contractors about protecting the environment while working on site?</t>
  </si>
  <si>
    <t>In the last 2 years, have there been any notifiable incidents or releases, which it has been identified that lack of training was a contributory cause ?</t>
  </si>
  <si>
    <t xml:space="preserve">Are individual and organisational training needs reviewed on a regular (e.g. annual) basis? </t>
  </si>
  <si>
    <t>Competance Training Total</t>
  </si>
  <si>
    <t xml:space="preserve">Emergency planning - 20% </t>
  </si>
  <si>
    <t xml:space="preserve">The Operator shall maintain an accident management plan which identifies potential events or failures which might lead to an environmental impact. The plan shall identify: </t>
  </si>
  <si>
    <t>   the likelihood of, and the actions to be taken to minimise, these potential occurrences;</t>
  </si>
  <si>
    <t>   the environmental consequences and an action plan to deal with such occurrences;</t>
  </si>
  <si>
    <t>   The Operator shall have a written procedure for handling, investigating, communicating and reporting of incidents and actual or potential non-compliance with permit conditions including taking action to mitigate any impacts caused and for initiating and completing corrective action.
   In the case of abnormal emissions the operator shall;</t>
  </si>
  <si>
    <t>   investigate and undertake remedial action immediately;</t>
  </si>
  <si>
    <t>   promptly record the events and actions taken; and</t>
  </si>
  <si>
    <t>   ensure the Regulator is made aware, as soon as practicable.</t>
  </si>
  <si>
    <r>
      <t>Is there an</t>
    </r>
    <r>
      <rPr>
        <b/>
        <sz val="10"/>
        <rFont val="Arial"/>
        <family val="2"/>
      </rPr>
      <t xml:space="preserve"> </t>
    </r>
    <r>
      <rPr>
        <sz val="10"/>
        <rFont val="Arial"/>
        <family val="2"/>
      </rPr>
      <t>accident plan</t>
    </r>
    <r>
      <rPr>
        <b/>
        <sz val="10"/>
        <rFont val="Arial"/>
        <family val="2"/>
      </rPr>
      <t xml:space="preserve"> </t>
    </r>
    <r>
      <rPr>
        <sz val="10"/>
        <rFont val="Arial"/>
        <family val="2"/>
      </rPr>
      <t>that complies with guidance covering the following aspects of foreseeable scenarios: likelihood, consequences,actions to prevent, action to take in the event it occurs?</t>
    </r>
  </si>
  <si>
    <t xml:space="preserve">Has the plan identified areas where improvement is needed? </t>
  </si>
  <si>
    <t xml:space="preserve">Are there written procedures for handling, investigating, communicating and reporting actual or potential non compliance with operating procedures or emission limits?  </t>
  </si>
  <si>
    <t>Are there written procedures for handling, investigating, communicating and reporting environmental complaints?</t>
  </si>
  <si>
    <t>Are there written procedures for investigating incidents, (and near-misses) including identifying suitable corrective action and following up implementation of that action?</t>
  </si>
  <si>
    <t>In the last 2 years, have there been any notifiable incidents or releases for which it has been identified that lack of emergency planning was a contributory cause ?</t>
  </si>
  <si>
    <t xml:space="preserve">Are there audit records of investigations into non compliance, complaints and incidents? Does the audit cover follow up actions? Do the audit reports go to senior managers?  </t>
  </si>
  <si>
    <t>Emergency planning Total</t>
  </si>
  <si>
    <t xml:space="preserve">Organisation - 40% </t>
  </si>
  <si>
    <r>
      <t xml:space="preserve">Do you operate an externally audited environment management system, if so answer one of the following questions.  </t>
    </r>
    <r>
      <rPr>
        <b/>
        <sz val="10"/>
        <color indexed="56"/>
        <rFont val="Arial"/>
        <family val="2"/>
      </rPr>
      <t>N.B Please enter your Certificate Number, Name of certification body and their UKAS Registration Number in the space for document reference.</t>
    </r>
  </si>
  <si>
    <t>Sub Total</t>
  </si>
  <si>
    <t xml:space="preserve">Has your company adopted an environmental policy and programme which :    </t>
  </si>
  <si>
    <t>   includes a commitment to continual improvement and prevention of pollution?</t>
  </si>
  <si>
    <t>   includes a commitment to comply with relevant legislation, and with other requirements that the organisation subscribes to?</t>
  </si>
  <si>
    <t>   identifies, sets, monitors and reviews environmental objectives, independently of the permit?</t>
  </si>
  <si>
    <t>Are there procedures that incorporate environmental issues into the following areas (as supported by demonstrable evidence e.g. written procedures):</t>
  </si>
  <si>
    <t xml:space="preserve">   the control of process change on the installation; </t>
  </si>
  <si>
    <t xml:space="preserve">   design and review of new facilities (including provision for their decommisioning), engineering and other capital projects; </t>
  </si>
  <si>
    <t xml:space="preserve">   capital approval; </t>
  </si>
  <si>
    <t>   purchasing policy;</t>
  </si>
  <si>
    <t xml:space="preserve">Are there audits, at least annually, to check that all activities are being carried out in conformity with the above requirements? </t>
  </si>
  <si>
    <t>Are they independent? (name the auditing body)</t>
  </si>
  <si>
    <t>Are there reports annually on environmental performance, objectives and targets, future planned improvements and or facilitate (participate in) local community liaison meetings?</t>
  </si>
  <si>
    <t xml:space="preserve">Organisational Totals </t>
  </si>
  <si>
    <t>Enforcement History (0 to -40% weighting)</t>
  </si>
  <si>
    <t>None      0
1st       - 5
2nd      -10
3rd or more
           -40</t>
  </si>
  <si>
    <t xml:space="preserve">None      0
1st      - 10
2nd or more
            -40
</t>
  </si>
  <si>
    <t xml:space="preserve">None      0
1st      - 15
2nd or more
            -40
</t>
  </si>
  <si>
    <t>Enforcement History Total</t>
  </si>
  <si>
    <t>Entered</t>
  </si>
  <si>
    <t>Spent</t>
  </si>
  <si>
    <t>Extant</t>
  </si>
  <si>
    <t>Enforcement etc Notices</t>
  </si>
  <si>
    <t>Formal Cautions etc</t>
  </si>
  <si>
    <t>Prohibition etc Notices</t>
  </si>
  <si>
    <t>Convictions on Prosecutions etc</t>
  </si>
  <si>
    <t>Enforcement History Total (min -40)</t>
  </si>
  <si>
    <t>Band E= less than 2 
 D= 2 to 3.99, C= 4 to 5.99, B= 6 to 7.99 , A= 8 to 11</t>
  </si>
  <si>
    <t>Company :</t>
  </si>
  <si>
    <t xml:space="preserve">Permit: </t>
  </si>
  <si>
    <t>Data calculations generating the above graph</t>
  </si>
  <si>
    <t>Summary</t>
  </si>
  <si>
    <t>Max</t>
  </si>
  <si>
    <t>Score from above</t>
  </si>
  <si>
    <t>Normalised to scale out of 10</t>
  </si>
  <si>
    <t>Weighting</t>
  </si>
  <si>
    <t>Weighted score</t>
  </si>
  <si>
    <t>Training 20%</t>
  </si>
  <si>
    <t>Emergency Planning 20%</t>
  </si>
  <si>
    <t>Organisation 40%</t>
  </si>
  <si>
    <t>Enforcement History Penalty -up to 40%</t>
  </si>
  <si>
    <t>Overall average weighted score</t>
  </si>
  <si>
    <t>Operator performance</t>
  </si>
  <si>
    <t>Maxium score possible =20</t>
  </si>
  <si>
    <t>Non capped history</t>
  </si>
  <si>
    <t>Capped to -40</t>
  </si>
  <si>
    <t>Profile before any rules or capping applied</t>
  </si>
  <si>
    <t>Attribute</t>
  </si>
  <si>
    <t>Number</t>
  </si>
  <si>
    <t>Emissions</t>
  </si>
  <si>
    <t>EPR Installations Application Charge Calculation</t>
  </si>
  <si>
    <t>(excludes Compliance Rating)</t>
  </si>
  <si>
    <t>Scoring Summary - Financial</t>
  </si>
  <si>
    <t>Total Score</t>
  </si>
  <si>
    <t>Emissions to Off-site Waste</t>
  </si>
  <si>
    <t>Emissions - Waste Input</t>
  </si>
  <si>
    <t>Total Opra charging score</t>
  </si>
  <si>
    <t>Subsistence Charge*</t>
  </si>
  <si>
    <t>Subsistence</t>
  </si>
  <si>
    <t>* Does not take into account Compliance Rating</t>
  </si>
  <si>
    <t>1.1 Part A (1) a) (i) &gt;300MW</t>
  </si>
  <si>
    <t>1.2 Part A(1) a)</t>
  </si>
  <si>
    <t>1.2 Part A(1) b) &gt;250 TPA</t>
  </si>
  <si>
    <t>1.2 Part A(1) b) &lt;250 TPA</t>
  </si>
  <si>
    <t>1.2 Part A (1) d)</t>
  </si>
  <si>
    <t>1.2 Part A(1) e) i)</t>
  </si>
  <si>
    <t>1.2 Part A(1) e) ii)</t>
  </si>
  <si>
    <t>1.2 Part A(1) e) i) or ii) but &lt;500000 TPA</t>
  </si>
  <si>
    <t>1.2 Part A (1) f)</t>
  </si>
  <si>
    <t>1.2 Part A (1) f) A)</t>
  </si>
  <si>
    <t>1.2 Part A (1) g)</t>
  </si>
  <si>
    <t>2.2 Part A(1) a)</t>
  </si>
  <si>
    <t>2.2 Part A(1) b) i)</t>
  </si>
  <si>
    <t>2.2 Part A(1) b) ii)</t>
  </si>
  <si>
    <t>2.2 Part A(1) c)</t>
  </si>
  <si>
    <t>3.1 Part A(1) a)</t>
  </si>
  <si>
    <t>3.1 Part A(1) b)</t>
  </si>
  <si>
    <t>3.2 Part A(1) a)</t>
  </si>
  <si>
    <t>3.2 Part A(1) b)</t>
  </si>
  <si>
    <t>3.3 Part A(1) a)</t>
  </si>
  <si>
    <t>3.4 Part A(1) a)</t>
  </si>
  <si>
    <t>3.6 Part A(1) a)</t>
  </si>
  <si>
    <t>4.1 Part A1 a) (xi) Soap via neutralisation</t>
  </si>
  <si>
    <t>4.1 Part A1 a) (A)</t>
  </si>
  <si>
    <t>4.1 Part A1 a) (B)</t>
  </si>
  <si>
    <t>4.1 Part A1 a) (C)</t>
  </si>
  <si>
    <t>4.2 Part A1 (a) i)</t>
  </si>
  <si>
    <t>4.2 Part A1 (a) ii)</t>
  </si>
  <si>
    <t>4.2 Part A1 (a) iii)</t>
  </si>
  <si>
    <t>4.2 Part A1 (a) iv)</t>
  </si>
  <si>
    <t>4.2 Part A1 (a) v)</t>
  </si>
  <si>
    <t>4.2 Part A1 (a) vi)</t>
  </si>
  <si>
    <t>4.2 Part A1 (a) A)</t>
  </si>
  <si>
    <t>4.2 Part A1 (a) B)</t>
  </si>
  <si>
    <t>4.2 Part A1 (b)</t>
  </si>
  <si>
    <t>4.2 Part A1 (c)</t>
  </si>
  <si>
    <t>4.2 Part A1 (d)</t>
  </si>
  <si>
    <t>4.2 Part A1 (e)</t>
  </si>
  <si>
    <t>4.2 Part A1 (f)</t>
  </si>
  <si>
    <t>4.3 Part A1 (a) B)</t>
  </si>
  <si>
    <t>4.4 Part A1 (a) &lt;2000 TPA</t>
  </si>
  <si>
    <t>4.4 Part A1 (a) &gt;2000 TPA</t>
  </si>
  <si>
    <t>4.5 Part A1 (a) &gt;2000 TPA</t>
  </si>
  <si>
    <t>4.5 Part A1 (a) &lt;2000 TPA</t>
  </si>
  <si>
    <t>4.6 Part A1 (a) &gt;2000 TPA</t>
  </si>
  <si>
    <t>4.6 Part A1 (a) &lt;2000 TPA</t>
  </si>
  <si>
    <t>4.7 Part A1 (a)</t>
  </si>
  <si>
    <t>5.1 Part A1 (a) &gt;10 TPD</t>
  </si>
  <si>
    <t>5.1 Part A1 (a) (A)</t>
  </si>
  <si>
    <t>5.1 Part A1 (a) (B)</t>
  </si>
  <si>
    <t>5.1 Part A1 (a) (C)</t>
  </si>
  <si>
    <t>5.2 Part A1 (a) Non hazardous</t>
  </si>
  <si>
    <t>5.1 Part A1 (b)</t>
  </si>
  <si>
    <t>5.1 Part A1 (b) (A)</t>
  </si>
  <si>
    <t>5.1 Part A1 (b) (B)</t>
  </si>
  <si>
    <t>5.1 Part A1 (b) (C)</t>
  </si>
  <si>
    <t>5.1 Part A1 (b) (D)</t>
  </si>
  <si>
    <t>5.1 Part A1 (c)</t>
  </si>
  <si>
    <t>5.2 Part A1 (a) Hazardous</t>
  </si>
  <si>
    <t>5.3 Part A (1) a) (ii)</t>
  </si>
  <si>
    <t>5.3 Part A (1) a) (iii)</t>
  </si>
  <si>
    <t>5.3 Part A (1) a) (iv)</t>
  </si>
  <si>
    <t>5.3 Part A (1) a) (v)</t>
  </si>
  <si>
    <t>5.3 Part A (1) a) (vi)</t>
  </si>
  <si>
    <t>5.3 Part A (1) a) (vii)</t>
  </si>
  <si>
    <t>5.3 Part A (1) a) (viii)</t>
  </si>
  <si>
    <t>5.3 Part A (1) a) (ix)</t>
  </si>
  <si>
    <t>5.3 Part A (1) a) (x)</t>
  </si>
  <si>
    <t>5.3 Part A (1) a) (xi)</t>
  </si>
  <si>
    <t>5.4 Part A (1) a) (iii)</t>
  </si>
  <si>
    <t>5.4 Part A (1) a) (i)</t>
  </si>
  <si>
    <t>5.4 Part A (1) a) (ii)</t>
  </si>
  <si>
    <t>5.4 Part A (1) a) (iv)</t>
  </si>
  <si>
    <t>5.4 Part A (1) a) (v)</t>
  </si>
  <si>
    <t>5.3 Part A (1) a) (ii) (A)</t>
  </si>
  <si>
    <t>5.3 Part A (1) a) (ii) (B)</t>
  </si>
  <si>
    <t>5.3 Part A (1) a) (ii) (C)</t>
  </si>
  <si>
    <t>5.3 Part A (1) a)(iii) (A)</t>
  </si>
  <si>
    <t>5.3 Part A (1) a) (iv) (A)</t>
  </si>
  <si>
    <t>5.4 Part A (1) b) (i)</t>
  </si>
  <si>
    <t>5.4 Part A (1) b) (ii)</t>
  </si>
  <si>
    <t>5.4 Part A (1) b) (iv)</t>
  </si>
  <si>
    <t>5.5 Part A (1) a)</t>
  </si>
  <si>
    <t>5.6 Part A (1) a)</t>
  </si>
  <si>
    <t>5.7 Part A (1) a)</t>
  </si>
  <si>
    <t>5.6 Part A (1) b)</t>
  </si>
  <si>
    <t>6.1 Part A (1) a) &gt;50000 TPA</t>
  </si>
  <si>
    <t>6.1 Part A (1) a) &lt;50000 TPA</t>
  </si>
  <si>
    <t>6.1 Part A (1) b) &lt;50000 TPA</t>
  </si>
  <si>
    <t>6.1 Part A (1) b) &gt;50000 TPA</t>
  </si>
  <si>
    <t>6.2 Part A (1) a)</t>
  </si>
  <si>
    <t>6.3 Part A (1) a) (i)</t>
  </si>
  <si>
    <t>6.3 Part A (1) a) (ii)</t>
  </si>
  <si>
    <t>6.4 Part A (1) a)</t>
  </si>
  <si>
    <t>6.8 Part A (1) a)</t>
  </si>
  <si>
    <t>6.8 Part A (1) b)</t>
  </si>
  <si>
    <t>6.8 Part A (1) c)</t>
  </si>
  <si>
    <t>6.8 Part A (1) c) (A)</t>
  </si>
  <si>
    <t>6.8 Part A (1) d) i)</t>
  </si>
  <si>
    <t>6.8 Part A (1) d) ii)</t>
  </si>
  <si>
    <t>6.8 Part A (1) d) iii)</t>
  </si>
  <si>
    <t>6.8 Part A (1) e)</t>
  </si>
  <si>
    <t>6.10 Part A (1) a)</t>
  </si>
  <si>
    <t>1.1 Part A (1) a) (i) &lt;300MW but &gt;50MW</t>
  </si>
  <si>
    <t>Now linkeddirectly to the main schedule activies</t>
  </si>
  <si>
    <t>2.2 Part A(2) a)</t>
  </si>
  <si>
    <t>2.1 Part B c)</t>
  </si>
  <si>
    <t>2.1 Part B d) i)</t>
  </si>
  <si>
    <t>2.1 Part B d) ii)</t>
  </si>
  <si>
    <t>2.1 Part B d) iii)</t>
  </si>
  <si>
    <t>2.1 Part B e)</t>
  </si>
  <si>
    <t>2.3 Part A(2) a)</t>
  </si>
  <si>
    <t>3.1 Part A(2) a)</t>
  </si>
  <si>
    <t>2.2 Part B a)</t>
  </si>
  <si>
    <t>2.2 Part B b)</t>
  </si>
  <si>
    <t>2.2 Part B c)</t>
  </si>
  <si>
    <t>2.2 Part B d)</t>
  </si>
  <si>
    <t>2.2 Part B e)</t>
  </si>
  <si>
    <t>2.3 Part B a)</t>
  </si>
  <si>
    <t>3.1 Part B a)</t>
  </si>
  <si>
    <t>3.3 Part A(2) a)</t>
  </si>
  <si>
    <t>3.1 Part A(2) b)</t>
  </si>
  <si>
    <t>3.1 Part B b)</t>
  </si>
  <si>
    <t>3.1 Part B c)</t>
  </si>
  <si>
    <t>3.1 Part B d)</t>
  </si>
  <si>
    <t>3.5 Part A(2) a)</t>
  </si>
  <si>
    <t>3.3 Part B a)</t>
  </si>
  <si>
    <t>3.3 Part B b)</t>
  </si>
  <si>
    <t>3.3 Part B c)</t>
  </si>
  <si>
    <t>3.3 Part B d) i)</t>
  </si>
  <si>
    <t>3.3 Part B d) ii)</t>
  </si>
  <si>
    <t>3.3 Part B e)</t>
  </si>
  <si>
    <t>3.5 Part B a)</t>
  </si>
  <si>
    <t>3.5 Part B b) i)</t>
  </si>
  <si>
    <t>3.5 Part B b) ii)</t>
  </si>
  <si>
    <t>3.5 Part B b) iii)</t>
  </si>
  <si>
    <t>3.5 Part B c)</t>
  </si>
  <si>
    <t>3.5 Part B d)</t>
  </si>
  <si>
    <t>3.5 Part B e)</t>
  </si>
  <si>
    <t>3.5 Part B f)</t>
  </si>
  <si>
    <t>3.5 Part B g)</t>
  </si>
  <si>
    <t>3.6 Part A (2) a) i)</t>
  </si>
  <si>
    <t>3.6 Part A (2) a) ii)</t>
  </si>
  <si>
    <t>3.6 Part B a)</t>
  </si>
  <si>
    <t>3.6 Part B b)</t>
  </si>
  <si>
    <t>4.1 Part B a)</t>
  </si>
  <si>
    <t>4.1 Part B b)</t>
  </si>
  <si>
    <t>4.1 Part B c)</t>
  </si>
  <si>
    <t>5.1 Part A (2) a)</t>
  </si>
  <si>
    <t>5.1 Part A (2) b)</t>
  </si>
  <si>
    <t>5.1 Part A (2) c)</t>
  </si>
  <si>
    <t>4.1 Part B d)</t>
  </si>
  <si>
    <t>4.8 Part B a)</t>
  </si>
  <si>
    <t>5.1 Part B a)</t>
  </si>
  <si>
    <t>5.1 Part B b)</t>
  </si>
  <si>
    <t>6.1 Part A (2) a)</t>
  </si>
  <si>
    <t>6.4 Part A (2) a)</t>
  </si>
  <si>
    <t>6.3 Part B a) i)</t>
  </si>
  <si>
    <t>6.3 Part B a) ii)</t>
  </si>
  <si>
    <t>6.4 Part B a) i)</t>
  </si>
  <si>
    <t>6.4 Part B b)</t>
  </si>
  <si>
    <t>6.4 Part B a) ii)</t>
  </si>
  <si>
    <t>6.4 Part B a) iii)</t>
  </si>
  <si>
    <t>6.4 Part B a) iv)</t>
  </si>
  <si>
    <t>6.7 Part A (2) a)</t>
  </si>
  <si>
    <t>6.4 Part B c) i)</t>
  </si>
  <si>
    <t>6.4 Part B c) ii)</t>
  </si>
  <si>
    <t>6.4 Part B c) iii)</t>
  </si>
  <si>
    <t>6.6 Part B a) i)</t>
  </si>
  <si>
    <t>6.6 Part B a) ii)</t>
  </si>
  <si>
    <t>6.5 Part B a) i)</t>
  </si>
  <si>
    <t>6.5 Part B a) ii)</t>
  </si>
  <si>
    <t>6.8 Part A (2) a)</t>
  </si>
  <si>
    <t>6.7 Part B a) i)</t>
  </si>
  <si>
    <t>6.7 Part B a) ii)</t>
  </si>
  <si>
    <t>6.7 Part B b)</t>
  </si>
  <si>
    <t>6.8 Part B a)</t>
  </si>
  <si>
    <t>6.8 Part B b)</t>
  </si>
  <si>
    <t>7 Part B</t>
  </si>
  <si>
    <t>Associated process</t>
  </si>
  <si>
    <t>2.1 Part A (1) b) A</t>
  </si>
  <si>
    <t>2.1 Part A (1) b) i or ii</t>
  </si>
  <si>
    <t>Opra charging mulitpliers</t>
  </si>
  <si>
    <t>Permit application</t>
  </si>
  <si>
    <t>Normal vcariaiton</t>
  </si>
  <si>
    <t>Susbsistance charge</t>
  </si>
  <si>
    <t>Substantial variaiton</t>
  </si>
  <si>
    <t>Full surrender</t>
  </si>
  <si>
    <t>Partialo surrnder</t>
  </si>
  <si>
    <t>Rule 3 capping applied but not sorted</t>
  </si>
  <si>
    <t>Rule 3 applied and sorted</t>
  </si>
  <si>
    <t>Instruction</t>
  </si>
  <si>
    <r>
      <t xml:space="preserve">Opra Banded Profile used for charging              </t>
    </r>
    <r>
      <rPr>
        <sz val="10"/>
        <rFont val="Arial"/>
        <family val="2"/>
      </rPr>
      <t>(i.e. after capping and applying rules)</t>
    </r>
  </si>
  <si>
    <t>Other activites</t>
  </si>
  <si>
    <t>MCP</t>
  </si>
  <si>
    <t>Schedule 25 A &amp; B - Both an MCP &amp; a Specified Generator</t>
  </si>
  <si>
    <t>Schedule 25A - Medium combustion plant only</t>
  </si>
  <si>
    <t>Schedule 25B – Specified generator only</t>
  </si>
  <si>
    <t>SG</t>
  </si>
  <si>
    <t>MCP_and_SG</t>
  </si>
  <si>
    <t>PartB_MCP_and_or_SG</t>
  </si>
  <si>
    <t>1.1 Part B MCP-Schedule 25A</t>
  </si>
  <si>
    <t>1.1 Part B SG-Schedule 25B</t>
  </si>
  <si>
    <t>1.1 Part B MCP &amp; SG _Schedule 25 A&amp;B</t>
  </si>
  <si>
    <t>5.1 Part B MCP &amp; SG-Schedule 25A&amp;B</t>
  </si>
  <si>
    <t>5.1 Part B MCP-Schedule 25A</t>
  </si>
  <si>
    <t>5.1 Part B SG-Schedule 25B</t>
  </si>
  <si>
    <t>Part A(2), Part B, MCP and SG Activities</t>
  </si>
  <si>
    <t>EPR Schedule Reference</t>
  </si>
  <si>
    <t>Score as % of Max</t>
  </si>
  <si>
    <r>
      <t>If you do not operate an externally audited environmental management system then assess</t>
    </r>
    <r>
      <rPr>
        <sz val="10"/>
        <color rgb="FFFF0000"/>
        <rFont val="Arial"/>
        <family val="2"/>
      </rPr>
      <t xml:space="preserve"> </t>
    </r>
    <r>
      <rPr>
        <b/>
        <sz val="10"/>
        <color rgb="FFFF0000"/>
        <rFont val="Arial"/>
        <family val="2"/>
      </rPr>
      <t>your system against the criteria below:</t>
    </r>
  </si>
  <si>
    <r>
      <t xml:space="preserve">Does your company produce a public environmental statement?  </t>
    </r>
    <r>
      <rPr>
        <b/>
        <sz val="10"/>
        <color rgb="FFFF0000"/>
        <rFont val="Arial"/>
        <family val="2"/>
      </rPr>
      <t>You may score in this box for ISO 14001 and industry systems but not for EMAS as this is a requirement for EMAS.</t>
    </r>
  </si>
  <si>
    <r>
      <t>Enforcement , Improvement, Works, Compliance or Restoration Notices issued</t>
    </r>
    <r>
      <rPr>
        <sz val="10"/>
        <rFont val="Arial"/>
        <family val="2"/>
      </rPr>
      <t xml:space="preserve"> in the past year by Natural Resources Wales (NRW) under any legislation, by the Health and Safety Executive relevant to the COMAH Regulations or by local authorities under Part I of the Environmental Protection Act 1990 or relevant notice or Abatement Notices issued by local authorities or magistrates courts under Part III of the Environmental Protection Act 1990</t>
    </r>
  </si>
  <si>
    <r>
      <t>Formal cautions, Enforcement Undertakings or Fixed Monetary Penalties issued</t>
    </r>
    <r>
      <rPr>
        <sz val="10"/>
        <rFont val="Arial"/>
        <family val="2"/>
      </rPr>
      <t xml:space="preserve"> by Natural Resources Wales (NRW)  in respect of offences under any legislation in the last 3 years.</t>
    </r>
  </si>
  <si>
    <r>
      <t>Prohibition, Stop, Suspension or Revocation Notices issued</t>
    </r>
    <r>
      <rPr>
        <sz val="10"/>
        <rFont val="Arial"/>
        <family val="2"/>
      </rPr>
      <t xml:space="preserve"> by Natural Resources Wales (NRW)  under any legislation, by the Health and Safety Executive relevant to the COMAH Regulations or by local authorities under Part I of the Environmental Protection Act 1990 in the last 3 years </t>
    </r>
  </si>
  <si>
    <t>Occupation</t>
  </si>
  <si>
    <t>Run off</t>
  </si>
  <si>
    <t>Flood plain</t>
  </si>
  <si>
    <t>Location attribute</t>
  </si>
  <si>
    <t>Status</t>
  </si>
  <si>
    <t>Status?</t>
  </si>
  <si>
    <r>
      <t xml:space="preserve">Within the past 5 years have you failed to meet an improvement condition either set by Natural Resources Wales (NRW) in a Permit or Variation by the due date, without prior agreement? (minus 2 for each failure). </t>
    </r>
    <r>
      <rPr>
        <b/>
        <sz val="10"/>
        <color rgb="FFFF0000"/>
        <rFont val="Arial"/>
        <family val="2"/>
      </rPr>
      <t>ADD NUMBER OF FAILURES NOT Y OR N</t>
    </r>
  </si>
  <si>
    <t>5 or more</t>
  </si>
  <si>
    <t>N/A</t>
  </si>
  <si>
    <t>external EMS</t>
  </si>
  <si>
    <t>All operators need to answer the following two questions</t>
  </si>
  <si>
    <t>If you operate under an externally auditted environment management system answer questions 1, 3 and 4, if you do not have an externally auditted environment management system answer questions 2, 3 and 4.</t>
  </si>
  <si>
    <t>Complexities transferred from 1 Listed activities tab</t>
  </si>
  <si>
    <t>Cell answered</t>
  </si>
  <si>
    <t>Operations and Maintenance 20%</t>
  </si>
  <si>
    <r>
      <t xml:space="preserve">Where improvement has been identified, does the plan include an implementation programme with acceptable timescales to Natural Resources Wales (NRW)?   </t>
    </r>
    <r>
      <rPr>
        <b/>
        <sz val="10"/>
        <color rgb="FFFF0000"/>
        <rFont val="Arial"/>
        <family val="2"/>
      </rPr>
      <t xml:space="preserve">If the plan is not acceptable to NRW, 2 points will be deducted. </t>
    </r>
  </si>
  <si>
    <r>
      <t xml:space="preserve">Is your Environmental Management System certified to ISO 14001? 
</t>
    </r>
    <r>
      <rPr>
        <sz val="10"/>
        <color rgb="FFFF0000"/>
        <rFont val="Arial"/>
        <family val="2"/>
      </rPr>
      <t>If yes enter Yes and go to questions 3 and 4.</t>
    </r>
  </si>
  <si>
    <r>
      <t xml:space="preserve">Is your Environmental Management System EMAS registered?
</t>
    </r>
    <r>
      <rPr>
        <sz val="10"/>
        <color rgb="FFFF0000"/>
        <rFont val="Arial"/>
        <family val="2"/>
      </rPr>
      <t>If yes select Yes and go to question 4.</t>
    </r>
  </si>
  <si>
    <t>Information or commentary</t>
  </si>
  <si>
    <t>b) WFD 'Poor' or 'moderate' (previously grade 4 or 3)</t>
  </si>
  <si>
    <t>a) WFD 'Bad' classification (formerly grade 5 )</t>
  </si>
  <si>
    <t>c) WFD 'Good' or 'high' (previously grade 2 or 1) or estuarine</t>
  </si>
  <si>
    <t>Sensitivity of receiving waters (information available from the NRW web site see river basin management plans), if:</t>
  </si>
  <si>
    <t>see Natural Resources Wales / River basin management plans 2015-2021</t>
  </si>
  <si>
    <t>4.1 Part A1 a) (i) &lt;2000TPA</t>
  </si>
  <si>
    <t>4.1 Part A1 a) (i) &gt;2000TPA</t>
  </si>
  <si>
    <t>4.1 Part A1 a) (ii) &lt;2000TPA</t>
  </si>
  <si>
    <t>4.1 Part A1 a) (ii) &gt;2000TPA</t>
  </si>
  <si>
    <t>4.1 Part A1 a) (iii) &lt;2000TPA</t>
  </si>
  <si>
    <t>4.1 Part A1 a) (iii) &gt;2000TPA</t>
  </si>
  <si>
    <t>4.1 Part A1 a) (iv) &lt;2000TPA</t>
  </si>
  <si>
    <t>4.1 Part A1 a) (iv) &gt;2000TPA</t>
  </si>
  <si>
    <t>4.1 Part A1 a) (v) &lt;2000TPA</t>
  </si>
  <si>
    <t>4.1 Part A1 a) (v) &gt;2000TPA</t>
  </si>
  <si>
    <t>4.1 Part A1 a) (vi) &lt;2000TPA</t>
  </si>
  <si>
    <t>4.1 Part A1 a) (vi) &gt;2000TPA</t>
  </si>
  <si>
    <t>4.1 Part A1 a) (vii) &lt;2000TPA</t>
  </si>
  <si>
    <t>4.1 Part A1 a) (vii) &gt;2000TPA</t>
  </si>
  <si>
    <t>4.1 Part A1 a) (viii) &lt;2000TPA</t>
  </si>
  <si>
    <t>4.1 Part A1 a) (viii) &gt;2000TPA</t>
  </si>
  <si>
    <t>4.1 Part A1 a) (ix) &lt;2000TPA</t>
  </si>
  <si>
    <t>4.1 Part A1 a) (ix) &gt;2000TPA</t>
  </si>
  <si>
    <t>4.1 Part A1 a) (x) &lt;2000TPA</t>
  </si>
  <si>
    <t>4.1 Part A1 a) (x) &gt;2000TPA</t>
  </si>
  <si>
    <t>4.1 Part A1 a) (xi) &lt;2000TPA</t>
  </si>
  <si>
    <t>4.1 Part A1 a) (xi) &gt;2000TPA</t>
  </si>
  <si>
    <t>If your installation is within a certain distance of Statutory sites designated under Habitats Directive or CROW Act 2000 then the impact of emissions on these conservation areas must be assessed during our determination :</t>
  </si>
  <si>
    <t>Receiving waters</t>
  </si>
  <si>
    <t>a</t>
  </si>
  <si>
    <t>e</t>
  </si>
  <si>
    <t>d</t>
  </si>
  <si>
    <t>c</t>
  </si>
  <si>
    <t>b</t>
  </si>
  <si>
    <t xml:space="preserve">    AQMZ </t>
  </si>
  <si>
    <t>c) as a) except do not emit pollutants that have be declared for the</t>
  </si>
  <si>
    <t>4.3 Part A1 (a) &gt;100t/TPA</t>
  </si>
  <si>
    <t>4.3 Part A1 (a) A)&lt;100TPA</t>
  </si>
  <si>
    <r>
      <t>No input is required.</t>
    </r>
    <r>
      <rPr>
        <sz val="10"/>
        <rFont val="Arial"/>
        <family val="2"/>
      </rPr>
      <t xml:space="preserve">  Output screen only. Summary of emissions.</t>
    </r>
  </si>
  <si>
    <r>
      <t xml:space="preserve">No input is required.  </t>
    </r>
    <r>
      <rPr>
        <sz val="10"/>
        <rFont val="Arial"/>
        <family val="2"/>
      </rPr>
      <t>Output screen only.  The emissions are shown separately.</t>
    </r>
  </si>
  <si>
    <r>
      <t xml:space="preserve">No input is required. </t>
    </r>
    <r>
      <rPr>
        <sz val="10"/>
        <rFont val="Arial"/>
        <family val="2"/>
      </rPr>
      <t xml:space="preserve">Charges with separate emissions totals.  </t>
    </r>
  </si>
  <si>
    <t>This rule is automatically applied if the number of complexities are &gt;6.  It drops the complexity by one band for the seventh and subsequent complexity scores</t>
  </si>
  <si>
    <r>
      <t xml:space="preserve">Rule 3 is applied when there are 4 or more of the </t>
    </r>
    <r>
      <rPr>
        <u/>
        <sz val="11"/>
        <rFont val="Arial"/>
        <family val="2"/>
      </rPr>
      <t>identical</t>
    </r>
    <r>
      <rPr>
        <sz val="11"/>
        <rFont val="Arial"/>
        <family val="2"/>
      </rPr>
      <t xml:space="preserve"> Schedule reference </t>
    </r>
    <r>
      <rPr>
        <u/>
        <sz val="11"/>
        <rFont val="Arial"/>
        <family val="2"/>
      </rPr>
      <t>and the same throughput band</t>
    </r>
    <r>
      <rPr>
        <sz val="11"/>
        <rFont val="Arial"/>
        <family val="2"/>
      </rPr>
      <t xml:space="preserve"> the complexity score is "*capped"</t>
    </r>
  </si>
  <si>
    <t>Installation Name:</t>
  </si>
  <si>
    <t>Please check that the data is entered in the correct units.The Emission Index will only show if the data entered exceeds the threshold.</t>
  </si>
  <si>
    <t>Are there industry standards for training in this sector (e.g. WAMITAB) and if so do you apply them?
(If no industry standards please use N/A)</t>
  </si>
  <si>
    <t>None</t>
  </si>
  <si>
    <t>Defra Core guidance</t>
  </si>
  <si>
    <r>
      <t xml:space="preserve">It is recommended that the user fills in the spreadsheet following the order of worksheets listed below (click on the appropriate tab at the bottom of the screen).
</t>
    </r>
    <r>
      <rPr>
        <b/>
        <sz val="12"/>
        <color rgb="FF0070C0"/>
        <rFont val="Arial"/>
        <family val="2"/>
      </rPr>
      <t xml:space="preserve">Not all worksheets require input, for those that do, the fields that may require input have no background colour or where there is a blue colour a picklist option is available.  To move to the next data entry cell in a worksheet, press tab button once the first cell has been completed and you will go to the next unlocked cell where data or a picklist needs to be entered or completed.
</t>
    </r>
    <r>
      <rPr>
        <sz val="12"/>
        <rFont val="Arial"/>
        <family val="2"/>
      </rPr>
      <t xml:space="preserve">
The sequence of worksheets is divided into two sections Sheets 1 to 11 are concerned with the input of data. Sheet 12 is the summary for the Opra Scores and Sheet 13 displays the charges. 
</t>
    </r>
  </si>
  <si>
    <r>
      <t xml:space="preserve">Is the site &gt;50 Ha?
</t>
    </r>
    <r>
      <rPr>
        <b/>
        <sz val="12"/>
        <color theme="1"/>
        <rFont val="Calibri"/>
        <family val="2"/>
        <scheme val="minor"/>
      </rPr>
      <t>Please answer Y/N below</t>
    </r>
  </si>
  <si>
    <t xml:space="preserve">This rule is applied if your site is &gt;50Ha
The first and highest complexity letter after any E will be increased by one - so a D would be come an E or a C would become a D or a B would become a C or an A would become a B
</t>
  </si>
  <si>
    <t xml:space="preserve">N/A </t>
  </si>
  <si>
    <t>BAND =</t>
  </si>
  <si>
    <r>
      <t xml:space="preserve">Schedule 1 Part A(1) - Rule 4 Aggregation Details (Chemical Industry only)                                            
</t>
    </r>
    <r>
      <rPr>
        <b/>
        <sz val="12"/>
        <color rgb="FFFF0000"/>
        <rFont val="Arial"/>
        <family val="2"/>
      </rPr>
      <t>Please contact your local NRW Industry Regulation Team if you need to use this rule</t>
    </r>
  </si>
  <si>
    <t>Please enter Part A(2), Part B, Medium Combustion Plant, Specified Generator and Waste Operation activities onto this sheet.
These activities attract separate charges</t>
  </si>
  <si>
    <t>Please enter details of your emissions to air on this sheet</t>
  </si>
  <si>
    <t>Please enter details of your emissions to water on this sheet</t>
  </si>
  <si>
    <t>Please enter details of your emissions to land on this sheet</t>
  </si>
  <si>
    <t>Please enter details of your emissions to sewer on this sheet</t>
  </si>
  <si>
    <t>Please enter details of waste taken off site, or imported for waste treatment activities</t>
  </si>
  <si>
    <t>Please answer the questions regarding the location of your site on this sheet</t>
  </si>
  <si>
    <t>Please answer the questions regarding your site management</t>
  </si>
  <si>
    <r>
      <t xml:space="preserve">Summary of complexities and rules applied - </t>
    </r>
    <r>
      <rPr>
        <sz val="10"/>
        <color rgb="FFFF0000"/>
        <rFont val="Arial"/>
        <family val="2"/>
      </rPr>
      <t>you only need to answer rule 6 on this worksheet</t>
    </r>
  </si>
  <si>
    <t>Waste activity that is not a Part A(1) activity</t>
  </si>
  <si>
    <t>Part A2 or Part B, MCP, SG or DAA Waste activity</t>
  </si>
  <si>
    <t xml:space="preserve">These are activities that would require an Environmental Permit in their own right if they were not part of your Installation. They do not contribute to the OPRA score but incur separate charges.  Listing each one here ensures we can charge the correct amount for any additional activities within the Installation. </t>
  </si>
  <si>
    <r>
      <t xml:space="preserve">Is your system an Environmental Management System subject to external audit through a third party audit programme with a published methodology (excludes in-house company audit programme).
</t>
    </r>
    <r>
      <rPr>
        <sz val="10"/>
        <color rgb="FFFF0000"/>
        <rFont val="Arial"/>
        <family val="2"/>
      </rPr>
      <t>If yes enter Yes and go to questions 3 and 4.</t>
    </r>
  </si>
  <si>
    <r>
      <t xml:space="preserve">Please ensure that you have completed these entries in the Other Activities sheet. The indicative charge shown here will </t>
    </r>
    <r>
      <rPr>
        <u/>
        <sz val="11"/>
        <rFont val="Arial"/>
        <family val="2"/>
      </rPr>
      <t>not</t>
    </r>
    <r>
      <rPr>
        <sz val="11"/>
        <rFont val="Arial"/>
        <family val="2"/>
      </rPr>
      <t xml:space="preserve"> include any charges associated with DAA Waste Operation, Part A (2) or Part B or MCP or SG activities that form part of the installation.
Refer to Environmental Permitting Charging Scheme for further details.</t>
    </r>
  </si>
  <si>
    <t>Schedule1 Part A(2) and Part B Activities, Medium combustion plant, Specified generators and Directly Associated  Waste Activities</t>
  </si>
  <si>
    <t>List of EPR Schedule Part (A) 2, Part B, Medium Combustion Plant (MCP), Specified Generator (SG) and Directly Associated Waste Activities (DAA Waste) included in the Installation</t>
  </si>
  <si>
    <t>Organisation Name</t>
  </si>
  <si>
    <t>Organisation name</t>
  </si>
  <si>
    <t>Organisation name:</t>
  </si>
  <si>
    <t>DAA_Waste</t>
  </si>
  <si>
    <t>Table W1 Substances</t>
  </si>
  <si>
    <t>Auto- populated</t>
  </si>
  <si>
    <t>    procedures to be used by supervisors or managers and  for the reporting of deviations from permit conditions to Natural Resources Wales and</t>
  </si>
  <si>
    <t>The following aspects of  site management procedures and controls may not be in the permit conditions but are likely to have an impact on NRW resources required to apply the Env Permitting Regulations.</t>
  </si>
  <si>
    <t xml:space="preserve">Date </t>
  </si>
  <si>
    <t>Enter type of Enforcement</t>
  </si>
  <si>
    <t>Enforcement Notice</t>
  </si>
  <si>
    <t>Works Notice</t>
  </si>
  <si>
    <t>Complaince Notice</t>
  </si>
  <si>
    <t>Restoration Notice</t>
  </si>
  <si>
    <t>Improvement notice</t>
  </si>
  <si>
    <t>Notice</t>
  </si>
  <si>
    <t xml:space="preserve">Formal cautions, Enforcement Undertakings or Fixed Monetary Penalties </t>
  </si>
  <si>
    <t>Formal Caution</t>
  </si>
  <si>
    <t>Enforcement undertaking</t>
  </si>
  <si>
    <t>Fixed Monetary Penalty</t>
  </si>
  <si>
    <t xml:space="preserve">Prohibition, Stop, Suspension or Revocation Notices </t>
  </si>
  <si>
    <t>Stop Notice</t>
  </si>
  <si>
    <t>Suspension Notice</t>
  </si>
  <si>
    <t>Prosecution</t>
  </si>
  <si>
    <t>Enter Date enforcement Issued</t>
  </si>
  <si>
    <t>Compliance Notice</t>
  </si>
  <si>
    <t>Revocation Notice</t>
  </si>
  <si>
    <t>Prohibition Notice</t>
  </si>
  <si>
    <t>Type of conviction</t>
  </si>
  <si>
    <t>Conviction date</t>
  </si>
  <si>
    <t>Variable Money Penalty</t>
  </si>
  <si>
    <r>
      <t>Convictions on prosecutions</t>
    </r>
    <r>
      <rPr>
        <sz val="10"/>
        <rFont val="Arial"/>
        <family val="2"/>
      </rPr>
      <t xml:space="preserve"> brought by Natural Resources Wales (NRW)  under any legislation, by the Health and Safety Executive relevant to the COMAH regulations or by local authorities (in respect of offences under Parts I or III of the Environmental Protection Act 1990) in last 5 years (10 years where imprisonment was imposed).
</t>
    </r>
    <r>
      <rPr>
        <b/>
        <sz val="10"/>
        <rFont val="Arial"/>
        <family val="2"/>
      </rPr>
      <t xml:space="preserve">Or any Variable Monetary Penalty (VMP) </t>
    </r>
    <r>
      <rPr>
        <sz val="10"/>
        <rFont val="Arial"/>
        <family val="2"/>
      </rPr>
      <t xml:space="preserve">in the last 5 years.   
[NB each individual offence counts separately].  </t>
    </r>
  </si>
  <si>
    <t xml:space="preserve">Enter date that enforcement is, or is due to become completed (spent) in ascending order </t>
  </si>
  <si>
    <t>Date that enforcement is, or is due to become spent</t>
  </si>
  <si>
    <t>Date that the enforcement is, or is due to become spent</t>
  </si>
  <si>
    <t>Date that the conviction and/or Penalty (VMP) is, or is due to become spent</t>
  </si>
  <si>
    <t>NRW V2.1 No Macros</t>
  </si>
  <si>
    <t>Opra Scheme NRW V2.1 -2023</t>
  </si>
  <si>
    <t>Opra Scheme NRW V2.1 - 2023</t>
  </si>
  <si>
    <t>Opra Charge Multipliers (2023/2024)</t>
  </si>
  <si>
    <t>Indicative Charge</t>
  </si>
  <si>
    <t>Link to Environmental Permitting Charges</t>
  </si>
  <si>
    <t>Permit Number</t>
  </si>
  <si>
    <t>Permit Number:</t>
  </si>
  <si>
    <t>Permit number</t>
  </si>
  <si>
    <t>Permit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</si>
</sst>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
    <numFmt numFmtId="165" formatCode="0.0%"/>
  </numFmts>
  <fonts count="67" x14ac:knownFonts="1">
    <font>
      <sz val="11"/>
      <color theme="1"/>
      <name val="Calibri"/>
      <family val="2"/>
      <scheme val="minor"/>
    </font>
    <font>
      <sz val="14"/>
      <color indexed="12"/>
      <name val="Arial"/>
      <family val="2"/>
    </font>
    <font>
      <b/>
      <sz val="16"/>
      <color indexed="10"/>
      <name val="Arial"/>
      <family val="2"/>
    </font>
    <font>
      <b/>
      <sz val="10"/>
      <name val="Arial"/>
      <family val="2"/>
    </font>
    <font>
      <b/>
      <sz val="12"/>
      <color indexed="12"/>
      <name val="Arial"/>
      <family val="2"/>
    </font>
    <font>
      <b/>
      <sz val="10"/>
      <color indexed="12"/>
      <name val="Arial"/>
      <family val="2"/>
    </font>
    <font>
      <sz val="10"/>
      <color indexed="10"/>
      <name val="Arial"/>
      <family val="2"/>
    </font>
    <font>
      <sz val="8"/>
      <name val="Arial"/>
      <family val="2"/>
    </font>
    <font>
      <b/>
      <sz val="8"/>
      <name val="Arial"/>
      <family val="2"/>
    </font>
    <font>
      <b/>
      <sz val="8"/>
      <color indexed="10"/>
      <name val="Arial"/>
      <family val="2"/>
    </font>
    <font>
      <sz val="8"/>
      <color indexed="10"/>
      <name val="Arial"/>
      <family val="2"/>
    </font>
    <font>
      <b/>
      <sz val="12"/>
      <name val="Arial"/>
      <family val="2"/>
    </font>
    <font>
      <sz val="10"/>
      <name val="Arial"/>
      <family val="2"/>
    </font>
    <font>
      <b/>
      <sz val="10"/>
      <color indexed="10"/>
      <name val="Arial"/>
      <family val="2"/>
    </font>
    <font>
      <b/>
      <sz val="10"/>
      <color indexed="42"/>
      <name val="Arial"/>
      <family val="2"/>
    </font>
    <font>
      <b/>
      <sz val="8"/>
      <color indexed="42"/>
      <name val="Arial"/>
      <family val="2"/>
    </font>
    <font>
      <b/>
      <sz val="12"/>
      <color indexed="56"/>
      <name val="Arial"/>
      <family val="2"/>
    </font>
    <font>
      <b/>
      <sz val="10"/>
      <color indexed="56"/>
      <name val="Arial"/>
      <family val="2"/>
    </font>
    <font>
      <sz val="10"/>
      <color indexed="56"/>
      <name val="Arial"/>
      <family val="2"/>
    </font>
    <font>
      <sz val="10"/>
      <color indexed="47"/>
      <name val="Arial"/>
      <family val="2"/>
    </font>
    <font>
      <b/>
      <sz val="14"/>
      <color indexed="12"/>
      <name val="Arial"/>
      <family val="2"/>
    </font>
    <font>
      <sz val="9"/>
      <color indexed="81"/>
      <name val="Tahoma"/>
      <family val="2"/>
    </font>
    <font>
      <sz val="10"/>
      <color indexed="42"/>
      <name val="Arial"/>
      <family val="2"/>
    </font>
    <font>
      <b/>
      <sz val="14"/>
      <color indexed="56"/>
      <name val="Arial"/>
      <family val="2"/>
    </font>
    <font>
      <sz val="10"/>
      <color indexed="12"/>
      <name val="Arial"/>
      <family val="2"/>
    </font>
    <font>
      <u/>
      <sz val="9"/>
      <color indexed="12"/>
      <name val="Arial"/>
      <family val="2"/>
    </font>
    <font>
      <sz val="11"/>
      <color theme="1"/>
      <name val="Calibri"/>
      <family val="2"/>
      <scheme val="minor"/>
    </font>
    <font>
      <sz val="12"/>
      <name val="Times New Roman"/>
      <family val="1"/>
    </font>
    <font>
      <sz val="10"/>
      <name val="Times New Roman"/>
      <family val="1"/>
    </font>
    <font>
      <sz val="10"/>
      <color indexed="9"/>
      <name val="Arial"/>
      <family val="2"/>
    </font>
    <font>
      <b/>
      <sz val="10"/>
      <color indexed="9"/>
      <name val="Arial"/>
      <family val="2"/>
    </font>
    <font>
      <b/>
      <sz val="10"/>
      <color indexed="8"/>
      <name val="Arial"/>
      <family val="2"/>
    </font>
    <font>
      <sz val="10"/>
      <color indexed="8"/>
      <name val="Arial"/>
      <family val="2"/>
    </font>
    <font>
      <b/>
      <sz val="10"/>
      <name val="Times New Roman"/>
      <family val="1"/>
    </font>
    <font>
      <b/>
      <sz val="11"/>
      <color theme="1"/>
      <name val="Calibri"/>
      <family val="2"/>
      <scheme val="minor"/>
    </font>
    <font>
      <b/>
      <sz val="16"/>
      <name val="Arial"/>
      <family val="2"/>
    </font>
    <font>
      <b/>
      <sz val="11"/>
      <name val="Arial"/>
      <family val="2"/>
    </font>
    <font>
      <b/>
      <sz val="14"/>
      <name val="Arial"/>
      <family val="2"/>
    </font>
    <font>
      <sz val="10"/>
      <color indexed="63"/>
      <name val="Arial"/>
      <family val="2"/>
    </font>
    <font>
      <i/>
      <sz val="9"/>
      <name val="Arial"/>
      <family val="2"/>
    </font>
    <font>
      <sz val="8"/>
      <name val="Calibri"/>
      <family val="2"/>
      <scheme val="minor"/>
    </font>
    <font>
      <b/>
      <sz val="10"/>
      <color rgb="FFFF0000"/>
      <name val="Arial"/>
      <family val="2"/>
    </font>
    <font>
      <sz val="10"/>
      <color rgb="FFFF0000"/>
      <name val="Arial"/>
      <family val="2"/>
    </font>
    <font>
      <b/>
      <sz val="12"/>
      <color rgb="FFFF0000"/>
      <name val="Arial"/>
      <family val="2"/>
    </font>
    <font>
      <b/>
      <sz val="11"/>
      <color theme="8" tint="-0.499984740745262"/>
      <name val="Calibri"/>
      <family val="2"/>
      <scheme val="minor"/>
    </font>
    <font>
      <sz val="11"/>
      <name val="Calibri"/>
      <family val="2"/>
      <scheme val="minor"/>
    </font>
    <font>
      <sz val="11"/>
      <color theme="0"/>
      <name val="Calibri"/>
      <family val="2"/>
      <scheme val="minor"/>
    </font>
    <font>
      <b/>
      <sz val="11"/>
      <color rgb="FF0070C0"/>
      <name val="Calibri"/>
      <family val="2"/>
      <scheme val="minor"/>
    </font>
    <font>
      <sz val="10"/>
      <color theme="0"/>
      <name val="Arial"/>
      <family val="2"/>
    </font>
    <font>
      <sz val="12"/>
      <name val="Arial"/>
      <family val="2"/>
    </font>
    <font>
      <b/>
      <sz val="12"/>
      <color rgb="FF0070C0"/>
      <name val="Arial"/>
      <family val="2"/>
    </font>
    <font>
      <sz val="11"/>
      <name val="Arial"/>
      <family val="2"/>
    </font>
    <font>
      <u/>
      <sz val="11"/>
      <name val="Arial"/>
      <family val="2"/>
    </font>
    <font>
      <b/>
      <sz val="14"/>
      <color indexed="12"/>
      <name val="Calibri"/>
      <family val="2"/>
      <scheme val="minor"/>
    </font>
    <font>
      <b/>
      <sz val="10"/>
      <color theme="9" tint="0.79998168889431442"/>
      <name val="Arial"/>
      <family val="2"/>
    </font>
    <font>
      <b/>
      <sz val="16"/>
      <color theme="1"/>
      <name val="Calibri"/>
      <family val="2"/>
      <scheme val="minor"/>
    </font>
    <font>
      <b/>
      <sz val="12"/>
      <color theme="1"/>
      <name val="Calibri"/>
      <family val="2"/>
      <scheme val="minor"/>
    </font>
    <font>
      <b/>
      <sz val="10"/>
      <color rgb="FF0000FF"/>
      <name val="Arial"/>
      <family val="2"/>
    </font>
    <font>
      <b/>
      <sz val="12"/>
      <name val="Calibri"/>
      <family val="2"/>
      <scheme val="minor"/>
    </font>
    <font>
      <sz val="11"/>
      <color theme="1"/>
      <name val="Arial"/>
      <family val="2"/>
    </font>
    <font>
      <i/>
      <sz val="12"/>
      <name val="Arial"/>
      <family val="2"/>
    </font>
    <font>
      <sz val="12"/>
      <color theme="1"/>
      <name val="Calibri"/>
      <family val="2"/>
      <scheme val="minor"/>
    </font>
    <font>
      <b/>
      <sz val="12"/>
      <color indexed="54"/>
      <name val="Arial"/>
      <family val="2"/>
    </font>
    <font>
      <b/>
      <sz val="14"/>
      <color theme="1"/>
      <name val="Calibri"/>
      <family val="2"/>
      <scheme val="minor"/>
    </font>
    <font>
      <sz val="10"/>
      <name val="Arial"/>
      <family val="2"/>
    </font>
    <font>
      <sz val="11"/>
      <color theme="9" tint="0.79998168889431442"/>
      <name val="Calibri"/>
      <family val="2"/>
      <scheme val="minor"/>
    </font>
    <font>
      <b/>
      <sz val="11"/>
      <color theme="1"/>
      <name val="Arial"/>
      <family val="2"/>
    </font>
  </fonts>
  <fills count="20">
    <fill>
      <patternFill patternType="none"/>
    </fill>
    <fill>
      <patternFill patternType="gray125"/>
    </fill>
    <fill>
      <patternFill patternType="solid">
        <fgColor indexed="42"/>
        <bgColor indexed="64"/>
      </patternFill>
    </fill>
    <fill>
      <patternFill patternType="solid">
        <fgColor rgb="FFCCFFCC"/>
        <bgColor indexed="64"/>
      </patternFill>
    </fill>
    <fill>
      <patternFill patternType="solid">
        <fgColor rgb="FF00B0F0"/>
        <bgColor indexed="64"/>
      </patternFill>
    </fill>
    <fill>
      <patternFill patternType="solid">
        <fgColor rgb="FF92D050"/>
        <bgColor indexed="64"/>
      </patternFill>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indexed="9"/>
        <bgColor indexed="64"/>
      </patternFill>
    </fill>
    <fill>
      <patternFill patternType="solid">
        <fgColor indexed="43"/>
        <bgColor indexed="64"/>
      </patternFill>
    </fill>
    <fill>
      <patternFill patternType="solid">
        <fgColor indexed="41"/>
        <bgColor indexed="64"/>
      </patternFill>
    </fill>
    <fill>
      <patternFill patternType="solid">
        <fgColor indexed="47"/>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4" tint="0.39994506668294322"/>
        <bgColor indexed="64"/>
      </patternFill>
    </fill>
    <fill>
      <patternFill patternType="solid">
        <fgColor theme="2" tint="-9.9978637043366805E-2"/>
        <bgColor indexed="64"/>
      </patternFill>
    </fill>
    <fill>
      <patternFill patternType="solid">
        <fgColor rgb="FF00B0F0"/>
        <bgColor rgb="FF000000"/>
      </patternFill>
    </fill>
    <fill>
      <patternFill patternType="solid">
        <fgColor theme="3" tint="0.59999389629810485"/>
        <bgColor indexed="64"/>
      </patternFill>
    </fill>
  </fills>
  <borders count="15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diagonal/>
    </border>
    <border>
      <left/>
      <right style="hair">
        <color indexed="64"/>
      </right>
      <top/>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style="hair">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top style="hair">
        <color indexed="64"/>
      </top>
      <bottom/>
      <diagonal/>
    </border>
    <border>
      <left/>
      <right/>
      <top/>
      <bottom style="hair">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thin">
        <color indexed="64"/>
      </bottom>
      <diagonal/>
    </border>
    <border>
      <left style="hair">
        <color indexed="64"/>
      </left>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diagonal/>
    </border>
    <border>
      <left/>
      <right style="thin">
        <color indexed="64"/>
      </right>
      <top style="hair">
        <color indexed="64"/>
      </top>
      <bottom style="thin">
        <color indexed="64"/>
      </bottom>
      <diagonal/>
    </border>
    <border>
      <left style="hair">
        <color indexed="64"/>
      </left>
      <right/>
      <top style="thin">
        <color indexed="64"/>
      </top>
      <bottom style="dotted">
        <color indexed="64"/>
      </bottom>
      <diagonal/>
    </border>
    <border>
      <left/>
      <right/>
      <top style="thin">
        <color indexed="64"/>
      </top>
      <bottom style="dotted">
        <color indexed="64"/>
      </bottom>
      <diagonal/>
    </border>
    <border>
      <left style="hair">
        <color indexed="64"/>
      </left>
      <right/>
      <top style="dotted">
        <color indexed="64"/>
      </top>
      <bottom style="hair">
        <color indexed="64"/>
      </bottom>
      <diagonal/>
    </border>
    <border>
      <left/>
      <right/>
      <top style="dotted">
        <color indexed="64"/>
      </top>
      <bottom style="hair">
        <color indexed="64"/>
      </bottom>
      <diagonal/>
    </border>
    <border>
      <left/>
      <right/>
      <top style="dotted">
        <color indexed="64"/>
      </top>
      <bottom/>
      <diagonal/>
    </border>
    <border>
      <left style="hair">
        <color indexed="64"/>
      </left>
      <right style="hair">
        <color indexed="64"/>
      </right>
      <top style="dotted">
        <color indexed="64"/>
      </top>
      <bottom/>
      <diagonal/>
    </border>
    <border>
      <left style="hair">
        <color indexed="64"/>
      </left>
      <right style="hair">
        <color indexed="64"/>
      </right>
      <top style="dotted">
        <color indexed="64"/>
      </top>
      <bottom style="dotted">
        <color indexed="64"/>
      </bottom>
      <diagonal/>
    </border>
    <border>
      <left style="hair">
        <color indexed="64"/>
      </left>
      <right/>
      <top style="thin">
        <color indexed="64"/>
      </top>
      <bottom style="thin">
        <color indexed="64"/>
      </bottom>
      <diagonal/>
    </border>
    <border>
      <left/>
      <right/>
      <top style="hair">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hair">
        <color indexed="64"/>
      </right>
      <top style="thin">
        <color indexed="64"/>
      </top>
      <bottom/>
      <diagonal/>
    </border>
    <border>
      <left style="medium">
        <color indexed="64"/>
      </left>
      <right style="hair">
        <color indexed="64"/>
      </right>
      <top/>
      <bottom style="thin">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hair">
        <color indexed="64"/>
      </right>
      <top style="thin">
        <color indexed="64"/>
      </top>
      <bottom style="dotted">
        <color indexed="64"/>
      </bottom>
      <diagonal/>
    </border>
    <border>
      <left style="medium">
        <color indexed="64"/>
      </left>
      <right style="hair">
        <color indexed="64"/>
      </right>
      <top style="dotted">
        <color indexed="64"/>
      </top>
      <bottom style="hair">
        <color indexed="64"/>
      </bottom>
      <diagonal/>
    </border>
    <border>
      <left style="medium">
        <color indexed="64"/>
      </left>
      <right style="hair">
        <color indexed="64"/>
      </right>
      <top style="dotted">
        <color indexed="64"/>
      </top>
      <bottom/>
      <diagonal/>
    </border>
    <border>
      <left style="medium">
        <color indexed="64"/>
      </left>
      <right style="hair">
        <color indexed="64"/>
      </right>
      <top style="dotted">
        <color indexed="64"/>
      </top>
      <bottom style="dotted">
        <color indexed="64"/>
      </bottom>
      <diagonal/>
    </border>
    <border>
      <left style="medium">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style="hair">
        <color indexed="64"/>
      </top>
      <bottom style="hair">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bottom style="hair">
        <color indexed="64"/>
      </bottom>
      <diagonal/>
    </border>
    <border>
      <left style="hair">
        <color indexed="64"/>
      </left>
      <right/>
      <top style="hair">
        <color indexed="64"/>
      </top>
      <bottom/>
      <diagonal/>
    </border>
    <border>
      <left style="hair">
        <color indexed="64"/>
      </left>
      <right/>
      <top style="dotted">
        <color indexed="64"/>
      </top>
      <bottom/>
      <diagonal/>
    </border>
    <border>
      <left style="hair">
        <color indexed="64"/>
      </left>
      <right/>
      <top style="dotted">
        <color indexed="64"/>
      </top>
      <bottom style="dotted">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5">
    <xf numFmtId="0" fontId="0" fillId="0" borderId="0"/>
    <xf numFmtId="0" fontId="25" fillId="0" borderId="0" applyNumberFormat="0" applyFill="0" applyBorder="0" applyAlignment="0" applyProtection="0">
      <alignment vertical="top"/>
      <protection locked="0"/>
    </xf>
    <xf numFmtId="9" fontId="26" fillId="0" borderId="0" applyFont="0" applyFill="0" applyBorder="0" applyAlignment="0" applyProtection="0"/>
    <xf numFmtId="0" fontId="27" fillId="0" borderId="0"/>
    <xf numFmtId="44" fontId="26" fillId="0" borderId="0" applyFont="0" applyFill="0" applyBorder="0" applyAlignment="0" applyProtection="0"/>
  </cellStyleXfs>
  <cellXfs count="1039">
    <xf numFmtId="0" fontId="0" fillId="0" borderId="0" xfId="0"/>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0" fillId="2" borderId="0" xfId="0" applyFill="1"/>
    <xf numFmtId="0" fontId="0" fillId="2" borderId="5" xfId="0" applyFill="1" applyBorder="1"/>
    <xf numFmtId="0" fontId="3" fillId="2" borderId="4" xfId="0" applyFont="1" applyFill="1" applyBorder="1"/>
    <xf numFmtId="0" fontId="0" fillId="2" borderId="18" xfId="0" applyFill="1" applyBorder="1"/>
    <xf numFmtId="0" fontId="0" fillId="2" borderId="19" xfId="0" applyFill="1" applyBorder="1"/>
    <xf numFmtId="0" fontId="0" fillId="2" borderId="20" xfId="0" applyFill="1" applyBorder="1"/>
    <xf numFmtId="0" fontId="0" fillId="0" borderId="0" xfId="0" applyAlignment="1">
      <alignment horizontal="center"/>
    </xf>
    <xf numFmtId="0" fontId="3" fillId="2" borderId="8" xfId="0" applyFont="1" applyFill="1" applyBorder="1"/>
    <xf numFmtId="0" fontId="13" fillId="2" borderId="0" xfId="0" applyFont="1" applyFill="1" applyAlignment="1">
      <alignment horizontal="center"/>
    </xf>
    <xf numFmtId="0" fontId="14" fillId="2" borderId="8"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24" xfId="0" applyFont="1" applyFill="1" applyBorder="1" applyAlignment="1">
      <alignment horizontal="left" vertical="top" wrapText="1"/>
    </xf>
    <xf numFmtId="0" fontId="0" fillId="2" borderId="0" xfId="0" applyFill="1" applyProtection="1">
      <protection hidden="1"/>
    </xf>
    <xf numFmtId="0" fontId="0" fillId="2" borderId="8" xfId="0" applyFill="1" applyBorder="1" applyAlignment="1">
      <alignment horizontal="center" vertical="center"/>
    </xf>
    <xf numFmtId="0" fontId="0" fillId="2" borderId="25" xfId="0" applyFill="1" applyBorder="1" applyAlignment="1">
      <alignment horizontal="center" vertical="center"/>
    </xf>
    <xf numFmtId="0" fontId="0" fillId="2" borderId="11" xfId="0" applyFill="1" applyBorder="1"/>
    <xf numFmtId="0" fontId="0" fillId="2" borderId="11" xfId="0" applyFill="1" applyBorder="1" applyAlignment="1">
      <alignment horizontal="center"/>
    </xf>
    <xf numFmtId="0" fontId="0" fillId="2" borderId="0" xfId="0" applyFill="1" applyAlignment="1">
      <alignment horizontal="center"/>
    </xf>
    <xf numFmtId="0" fontId="0" fillId="2" borderId="0" xfId="0" applyFill="1" applyAlignment="1">
      <alignment horizontal="center" vertical="top" wrapText="1"/>
    </xf>
    <xf numFmtId="0" fontId="13" fillId="2" borderId="0" xfId="0" applyFont="1" applyFill="1" applyAlignment="1">
      <alignment horizontal="center" vertical="top"/>
    </xf>
    <xf numFmtId="0" fontId="3" fillId="2" borderId="0" xfId="0" applyFont="1" applyFill="1" applyAlignment="1">
      <alignment horizontal="center"/>
    </xf>
    <xf numFmtId="0" fontId="3" fillId="2" borderId="9" xfId="0" applyFont="1" applyFill="1" applyBorder="1" applyAlignment="1">
      <alignment horizontal="left"/>
    </xf>
    <xf numFmtId="0" fontId="0" fillId="6" borderId="8" xfId="0" applyFill="1" applyBorder="1" applyAlignment="1">
      <alignment horizontal="left" vertical="top" wrapText="1"/>
    </xf>
    <xf numFmtId="0" fontId="0" fillId="4" borderId="8" xfId="0" applyFill="1" applyBorder="1" applyAlignment="1">
      <alignment horizontal="left" vertical="top" wrapText="1"/>
    </xf>
    <xf numFmtId="0" fontId="0" fillId="7" borderId="8" xfId="0" applyFill="1" applyBorder="1" applyAlignment="1">
      <alignment horizontal="left" vertical="top" wrapText="1"/>
    </xf>
    <xf numFmtId="0" fontId="0" fillId="7" borderId="8" xfId="0" applyFill="1" applyBorder="1" applyAlignment="1">
      <alignment horizontal="center" vertical="center"/>
    </xf>
    <xf numFmtId="0" fontId="12" fillId="7" borderId="8" xfId="0" applyFont="1" applyFill="1" applyBorder="1" applyAlignment="1">
      <alignment horizontal="center"/>
    </xf>
    <xf numFmtId="0" fontId="0" fillId="2" borderId="2" xfId="0" applyFill="1" applyBorder="1" applyAlignment="1">
      <alignment horizontal="center"/>
    </xf>
    <xf numFmtId="0" fontId="12" fillId="2" borderId="0" xfId="0" applyFont="1" applyFill="1" applyAlignment="1">
      <alignment horizontal="center"/>
    </xf>
    <xf numFmtId="0" fontId="0" fillId="2" borderId="8" xfId="0" applyFill="1" applyBorder="1"/>
    <xf numFmtId="0" fontId="0" fillId="2" borderId="8" xfId="0" applyFill="1" applyBorder="1" applyAlignment="1">
      <alignment horizontal="center"/>
    </xf>
    <xf numFmtId="0" fontId="0" fillId="2" borderId="5" xfId="0" applyFill="1" applyBorder="1" applyProtection="1">
      <protection hidden="1"/>
    </xf>
    <xf numFmtId="0" fontId="5" fillId="2" borderId="0" xfId="0" applyFont="1" applyFill="1" applyAlignment="1">
      <alignment horizontal="center"/>
    </xf>
    <xf numFmtId="0" fontId="11" fillId="2" borderId="0" xfId="0" applyFont="1" applyFill="1" applyAlignment="1">
      <alignment horizontal="center"/>
    </xf>
    <xf numFmtId="0" fontId="0" fillId="2" borderId="0" xfId="0" applyFill="1" applyProtection="1">
      <protection locked="0"/>
    </xf>
    <xf numFmtId="0" fontId="0" fillId="2" borderId="0" xfId="0" applyFill="1" applyAlignment="1">
      <alignment horizontal="left"/>
    </xf>
    <xf numFmtId="0" fontId="3" fillId="2" borderId="19" xfId="0" applyFont="1" applyFill="1" applyBorder="1" applyAlignment="1">
      <alignment horizontal="center"/>
    </xf>
    <xf numFmtId="0" fontId="0" fillId="2" borderId="19" xfId="0" applyFill="1" applyBorder="1" applyAlignment="1">
      <alignment horizontal="center"/>
    </xf>
    <xf numFmtId="0" fontId="0" fillId="6" borderId="6" xfId="0" applyFill="1" applyBorder="1" applyAlignment="1">
      <alignment horizontal="left"/>
    </xf>
    <xf numFmtId="0" fontId="3" fillId="2" borderId="8" xfId="0" applyFont="1" applyFill="1" applyBorder="1" applyAlignment="1">
      <alignment vertical="center"/>
    </xf>
    <xf numFmtId="0" fontId="3" fillId="2" borderId="8" xfId="0" applyFont="1" applyFill="1" applyBorder="1" applyAlignment="1">
      <alignment vertical="center" wrapText="1"/>
    </xf>
    <xf numFmtId="0" fontId="0" fillId="7" borderId="8" xfId="0" applyFill="1" applyBorder="1" applyAlignment="1">
      <alignment horizontal="center"/>
    </xf>
    <xf numFmtId="0" fontId="13" fillId="2" borderId="2" xfId="0" applyFont="1" applyFill="1" applyBorder="1"/>
    <xf numFmtId="0" fontId="3" fillId="2" borderId="10" xfId="0" applyFont="1" applyFill="1" applyBorder="1" applyAlignment="1">
      <alignment horizontal="center" vertical="center" wrapText="1"/>
    </xf>
    <xf numFmtId="0" fontId="3" fillId="2" borderId="13" xfId="0" applyFont="1" applyFill="1" applyBorder="1" applyAlignment="1">
      <alignment horizontal="center" vertical="center"/>
    </xf>
    <xf numFmtId="0" fontId="5" fillId="2" borderId="8" xfId="0" applyFont="1" applyFill="1" applyBorder="1" applyAlignment="1">
      <alignment horizontal="left" vertical="center" wrapText="1"/>
    </xf>
    <xf numFmtId="0" fontId="0" fillId="2" borderId="0" xfId="0" applyFill="1" applyAlignment="1">
      <alignment wrapText="1"/>
    </xf>
    <xf numFmtId="0" fontId="5" fillId="2" borderId="8" xfId="0" applyFont="1" applyFill="1" applyBorder="1" applyAlignment="1">
      <alignment horizontal="left"/>
    </xf>
    <xf numFmtId="0" fontId="17" fillId="2" borderId="8" xfId="0" applyFont="1" applyFill="1" applyBorder="1" applyAlignment="1">
      <alignment wrapText="1"/>
    </xf>
    <xf numFmtId="0" fontId="17" fillId="2" borderId="8" xfId="0" applyFont="1" applyFill="1" applyBorder="1" applyAlignment="1">
      <alignment horizontal="center" wrapText="1"/>
    </xf>
    <xf numFmtId="0" fontId="17" fillId="2" borderId="8" xfId="0" applyFont="1" applyFill="1" applyBorder="1" applyAlignment="1">
      <alignment horizontal="center"/>
    </xf>
    <xf numFmtId="0" fontId="0" fillId="2" borderId="13" xfId="0" applyFill="1" applyBorder="1"/>
    <xf numFmtId="0" fontId="0" fillId="7" borderId="8" xfId="0" applyFill="1" applyBorder="1" applyAlignment="1">
      <alignment horizontal="center" vertical="top" wrapText="1"/>
    </xf>
    <xf numFmtId="0" fontId="19" fillId="2" borderId="21" xfId="0" applyFont="1" applyFill="1" applyBorder="1"/>
    <xf numFmtId="0" fontId="13" fillId="2" borderId="0" xfId="0" applyFont="1" applyFill="1"/>
    <xf numFmtId="0" fontId="0" fillId="2" borderId="5" xfId="0" applyFill="1" applyBorder="1" applyAlignment="1">
      <alignment wrapText="1"/>
    </xf>
    <xf numFmtId="0" fontId="10" fillId="2" borderId="27" xfId="0" applyFont="1" applyFill="1" applyBorder="1" applyAlignment="1">
      <alignment horizontal="left" vertical="center" wrapText="1"/>
    </xf>
    <xf numFmtId="0" fontId="3" fillId="2" borderId="25" xfId="0" applyFont="1" applyFill="1" applyBorder="1" applyAlignment="1">
      <alignment vertical="center"/>
    </xf>
    <xf numFmtId="0" fontId="0" fillId="2" borderId="9" xfId="0" applyFill="1" applyBorder="1"/>
    <xf numFmtId="0" fontId="3" fillId="2" borderId="29" xfId="0" applyFont="1" applyFill="1" applyBorder="1" applyAlignment="1">
      <alignment vertical="top"/>
    </xf>
    <xf numFmtId="0" fontId="3" fillId="2" borderId="30" xfId="0" applyFont="1" applyFill="1" applyBorder="1" applyAlignment="1">
      <alignment vertical="top"/>
    </xf>
    <xf numFmtId="0" fontId="3" fillId="2" borderId="31" xfId="0" applyFont="1" applyFill="1" applyBorder="1" applyAlignment="1">
      <alignment vertical="top" wrapText="1"/>
    </xf>
    <xf numFmtId="0" fontId="3" fillId="2" borderId="8" xfId="0" applyFont="1" applyFill="1" applyBorder="1" applyAlignment="1">
      <alignment vertical="top" wrapText="1"/>
    </xf>
    <xf numFmtId="0" fontId="3" fillId="2" borderId="32" xfId="0" applyFont="1" applyFill="1" applyBorder="1" applyAlignment="1">
      <alignment vertical="top" wrapText="1"/>
    </xf>
    <xf numFmtId="0" fontId="3" fillId="2" borderId="33" xfId="0" applyFont="1" applyFill="1" applyBorder="1" applyAlignment="1">
      <alignment vertical="top" wrapText="1"/>
    </xf>
    <xf numFmtId="0" fontId="3" fillId="2" borderId="5" xfId="0" applyFont="1" applyFill="1" applyBorder="1" applyAlignment="1">
      <alignment wrapText="1"/>
    </xf>
    <xf numFmtId="0" fontId="0" fillId="2" borderId="34" xfId="0" applyFill="1" applyBorder="1" applyAlignment="1">
      <alignment vertical="top" wrapText="1"/>
    </xf>
    <xf numFmtId="0" fontId="0" fillId="2" borderId="35" xfId="0" applyFill="1" applyBorder="1" applyAlignment="1">
      <alignment vertical="top" wrapText="1"/>
    </xf>
    <xf numFmtId="0" fontId="0" fillId="0" borderId="35" xfId="0" applyBorder="1" applyAlignment="1" applyProtection="1">
      <alignment vertical="top" wrapText="1"/>
      <protection locked="0"/>
    </xf>
    <xf numFmtId="1" fontId="0" fillId="2" borderId="35" xfId="0" applyNumberFormat="1" applyFill="1" applyBorder="1" applyAlignment="1">
      <alignment vertical="top" wrapText="1"/>
    </xf>
    <xf numFmtId="1" fontId="12" fillId="0" borderId="36" xfId="0" applyNumberFormat="1" applyFont="1" applyBorder="1" applyAlignment="1" applyProtection="1">
      <alignment vertical="top" wrapText="1"/>
      <protection locked="0"/>
    </xf>
    <xf numFmtId="0" fontId="0" fillId="2" borderId="37" xfId="0" applyFill="1" applyBorder="1" applyAlignment="1">
      <alignment vertical="top" wrapText="1"/>
    </xf>
    <xf numFmtId="0" fontId="0" fillId="2" borderId="38" xfId="0" applyFill="1" applyBorder="1" applyAlignment="1">
      <alignment vertical="top" wrapText="1"/>
    </xf>
    <xf numFmtId="1" fontId="0" fillId="2" borderId="38" xfId="0" applyNumberFormat="1" applyFill="1" applyBorder="1" applyAlignment="1">
      <alignment vertical="top" wrapText="1"/>
    </xf>
    <xf numFmtId="0" fontId="0" fillId="2" borderId="37" xfId="0" applyFill="1" applyBorder="1" applyAlignment="1">
      <alignment vertical="top"/>
    </xf>
    <xf numFmtId="0" fontId="0" fillId="2" borderId="38" xfId="0" applyFill="1" applyBorder="1" applyAlignment="1">
      <alignment vertical="top"/>
    </xf>
    <xf numFmtId="1" fontId="0" fillId="2" borderId="38" xfId="0" applyNumberFormat="1" applyFill="1" applyBorder="1" applyAlignment="1">
      <alignment vertical="top"/>
    </xf>
    <xf numFmtId="1" fontId="0" fillId="2" borderId="39" xfId="0" applyNumberFormat="1" applyFill="1" applyBorder="1" applyAlignment="1">
      <alignment vertical="top"/>
    </xf>
    <xf numFmtId="1" fontId="0" fillId="0" borderId="36" xfId="0" applyNumberFormat="1" applyBorder="1" applyAlignment="1" applyProtection="1">
      <alignment vertical="top" wrapText="1"/>
      <protection locked="0"/>
    </xf>
    <xf numFmtId="1" fontId="0" fillId="2" borderId="39" xfId="0" applyNumberFormat="1" applyFill="1" applyBorder="1" applyAlignment="1">
      <alignment vertical="top" wrapText="1"/>
    </xf>
    <xf numFmtId="0" fontId="3" fillId="2" borderId="37" xfId="0" applyFont="1" applyFill="1" applyBorder="1" applyAlignment="1">
      <alignment vertical="top" wrapText="1"/>
    </xf>
    <xf numFmtId="0" fontId="0" fillId="0" borderId="38" xfId="0" applyBorder="1" applyAlignment="1" applyProtection="1">
      <alignment vertical="top" wrapText="1"/>
      <protection locked="0"/>
    </xf>
    <xf numFmtId="0" fontId="12" fillId="0" borderId="37" xfId="0" applyFont="1" applyBorder="1" applyAlignment="1" applyProtection="1">
      <alignment vertical="top" wrapText="1"/>
      <protection locked="0"/>
    </xf>
    <xf numFmtId="0" fontId="0" fillId="0" borderId="37" xfId="0" applyBorder="1" applyAlignment="1" applyProtection="1">
      <alignment vertical="top" wrapText="1"/>
      <protection locked="0"/>
    </xf>
    <xf numFmtId="49" fontId="0" fillId="2" borderId="37" xfId="0" applyNumberFormat="1" applyFill="1" applyBorder="1" applyAlignment="1">
      <alignment vertical="top" wrapText="1"/>
    </xf>
    <xf numFmtId="0" fontId="0" fillId="2" borderId="38" xfId="0" applyFill="1" applyBorder="1" applyAlignment="1">
      <alignment horizontal="right" vertical="top" wrapText="1"/>
    </xf>
    <xf numFmtId="1" fontId="0" fillId="0" borderId="39" xfId="0" applyNumberFormat="1" applyBorder="1" applyAlignment="1" applyProtection="1">
      <alignment vertical="top" wrapText="1"/>
      <protection locked="0"/>
    </xf>
    <xf numFmtId="0" fontId="0" fillId="2" borderId="40" xfId="0" applyFill="1" applyBorder="1" applyAlignment="1">
      <alignment vertical="top" wrapText="1"/>
    </xf>
    <xf numFmtId="0" fontId="0" fillId="2" borderId="41" xfId="0" applyFill="1" applyBorder="1" applyAlignment="1">
      <alignment vertical="top" wrapText="1"/>
    </xf>
    <xf numFmtId="0" fontId="3" fillId="2" borderId="41" xfId="0" applyFont="1" applyFill="1" applyBorder="1" applyAlignment="1">
      <alignment vertical="top" wrapText="1"/>
    </xf>
    <xf numFmtId="1" fontId="3" fillId="2" borderId="41" xfId="0" applyNumberFormat="1" applyFont="1" applyFill="1" applyBorder="1" applyAlignment="1">
      <alignment vertical="top" wrapText="1"/>
    </xf>
    <xf numFmtId="1" fontId="3" fillId="2" borderId="42" xfId="0" applyNumberFormat="1" applyFont="1" applyFill="1" applyBorder="1" applyAlignment="1">
      <alignment vertical="top" wrapText="1"/>
    </xf>
    <xf numFmtId="0" fontId="0" fillId="2" borderId="43" xfId="0" applyFill="1" applyBorder="1"/>
    <xf numFmtId="0" fontId="0" fillId="2" borderId="44" xfId="0" applyFill="1" applyBorder="1"/>
    <xf numFmtId="0" fontId="0" fillId="0" borderId="44" xfId="0" applyBorder="1" applyProtection="1">
      <protection locked="0"/>
    </xf>
    <xf numFmtId="1" fontId="0" fillId="2" borderId="44" xfId="0" applyNumberFormat="1" applyFill="1" applyBorder="1"/>
    <xf numFmtId="1" fontId="0" fillId="0" borderId="45" xfId="0" applyNumberFormat="1" applyBorder="1" applyProtection="1">
      <protection locked="0"/>
    </xf>
    <xf numFmtId="0" fontId="0" fillId="2" borderId="37" xfId="0" applyFill="1" applyBorder="1"/>
    <xf numFmtId="0" fontId="0" fillId="2" borderId="38" xfId="0" applyFill="1" applyBorder="1"/>
    <xf numFmtId="0" fontId="0" fillId="0" borderId="38" xfId="0" applyBorder="1" applyProtection="1">
      <protection locked="0"/>
    </xf>
    <xf numFmtId="1" fontId="0" fillId="2" borderId="38" xfId="0" applyNumberFormat="1" applyFill="1" applyBorder="1"/>
    <xf numFmtId="1" fontId="0" fillId="0" borderId="39" xfId="0" applyNumberFormat="1" applyBorder="1" applyProtection="1">
      <protection locked="0"/>
    </xf>
    <xf numFmtId="1" fontId="0" fillId="2" borderId="39" xfId="0" applyNumberFormat="1" applyFill="1" applyBorder="1"/>
    <xf numFmtId="0" fontId="0" fillId="2" borderId="37" xfId="0" applyFill="1" applyBorder="1" applyAlignment="1">
      <alignment wrapText="1"/>
    </xf>
    <xf numFmtId="0" fontId="0" fillId="2" borderId="47" xfId="0" applyFill="1" applyBorder="1"/>
    <xf numFmtId="1" fontId="0" fillId="2" borderId="47" xfId="0" applyNumberFormat="1" applyFill="1" applyBorder="1"/>
    <xf numFmtId="0" fontId="0" fillId="0" borderId="37" xfId="0" applyBorder="1" applyProtection="1">
      <protection locked="0"/>
    </xf>
    <xf numFmtId="0" fontId="0" fillId="2" borderId="38" xfId="0" applyFill="1" applyBorder="1" applyAlignment="1">
      <alignment horizontal="right"/>
    </xf>
    <xf numFmtId="0" fontId="3" fillId="2" borderId="38" xfId="0" applyFont="1" applyFill="1" applyBorder="1"/>
    <xf numFmtId="1" fontId="3" fillId="2" borderId="38" xfId="0" applyNumberFormat="1" applyFont="1" applyFill="1" applyBorder="1"/>
    <xf numFmtId="1" fontId="3" fillId="2" borderId="41" xfId="0" applyNumberFormat="1" applyFont="1" applyFill="1" applyBorder="1"/>
    <xf numFmtId="0" fontId="3" fillId="2" borderId="49" xfId="0" applyFont="1" applyFill="1" applyBorder="1" applyAlignment="1">
      <alignment wrapText="1"/>
    </xf>
    <xf numFmtId="0" fontId="3" fillId="2" borderId="30" xfId="0" applyFont="1" applyFill="1" applyBorder="1"/>
    <xf numFmtId="0" fontId="3" fillId="2" borderId="30" xfId="0" applyFont="1" applyFill="1" applyBorder="1" applyAlignment="1">
      <alignment wrapText="1"/>
    </xf>
    <xf numFmtId="0" fontId="3" fillId="2" borderId="33" xfId="0" applyFont="1" applyFill="1" applyBorder="1" applyAlignment="1">
      <alignment wrapText="1"/>
    </xf>
    <xf numFmtId="0" fontId="0" fillId="2" borderId="34" xfId="0" applyFill="1" applyBorder="1"/>
    <xf numFmtId="0" fontId="0" fillId="2" borderId="35" xfId="0" applyFill="1" applyBorder="1"/>
    <xf numFmtId="0" fontId="0" fillId="0" borderId="35" xfId="0" applyBorder="1" applyProtection="1">
      <protection locked="0"/>
    </xf>
    <xf numFmtId="1" fontId="0" fillId="2" borderId="35" xfId="0" applyNumberFormat="1" applyFill="1" applyBorder="1"/>
    <xf numFmtId="0" fontId="0" fillId="0" borderId="36" xfId="0" applyBorder="1" applyAlignment="1" applyProtection="1">
      <alignment wrapText="1"/>
      <protection locked="0"/>
    </xf>
    <xf numFmtId="0" fontId="12" fillId="0" borderId="39" xfId="0" applyFont="1" applyBorder="1" applyAlignment="1" applyProtection="1">
      <alignment wrapText="1"/>
      <protection locked="0"/>
    </xf>
    <xf numFmtId="0" fontId="0" fillId="2" borderId="39" xfId="0" applyFill="1" applyBorder="1" applyAlignment="1">
      <alignment wrapText="1"/>
    </xf>
    <xf numFmtId="0" fontId="3" fillId="2" borderId="8" xfId="0" applyFont="1" applyFill="1" applyBorder="1" applyAlignment="1">
      <alignment wrapText="1"/>
    </xf>
    <xf numFmtId="0" fontId="0" fillId="2" borderId="51" xfId="0" applyFill="1" applyBorder="1"/>
    <xf numFmtId="0" fontId="0" fillId="2" borderId="52" xfId="0" applyFill="1" applyBorder="1"/>
    <xf numFmtId="1" fontId="0" fillId="2" borderId="54" xfId="0" applyNumberFormat="1" applyFill="1" applyBorder="1"/>
    <xf numFmtId="0" fontId="0" fillId="2" borderId="55" xfId="0" applyFill="1" applyBorder="1"/>
    <xf numFmtId="0" fontId="0" fillId="2" borderId="38" xfId="0" applyFill="1" applyBorder="1" applyAlignment="1">
      <alignment horizontal="left"/>
    </xf>
    <xf numFmtId="2" fontId="22" fillId="2" borderId="38" xfId="0" applyNumberFormat="1" applyFont="1" applyFill="1" applyBorder="1" applyProtection="1">
      <protection hidden="1"/>
    </xf>
    <xf numFmtId="0" fontId="0" fillId="2" borderId="56" xfId="0" applyFill="1" applyBorder="1"/>
    <xf numFmtId="0" fontId="0" fillId="2" borderId="21" xfId="0" applyFill="1" applyBorder="1"/>
    <xf numFmtId="0" fontId="0" fillId="2" borderId="23" xfId="0" applyFill="1" applyBorder="1"/>
    <xf numFmtId="0" fontId="12" fillId="0" borderId="45" xfId="0" applyFont="1" applyBorder="1" applyAlignment="1" applyProtection="1">
      <alignment wrapText="1"/>
      <protection locked="0"/>
    </xf>
    <xf numFmtId="0" fontId="0" fillId="0" borderId="39" xfId="0" applyBorder="1" applyAlignment="1" applyProtection="1">
      <alignment wrapText="1"/>
      <protection locked="0"/>
    </xf>
    <xf numFmtId="0" fontId="0" fillId="2" borderId="54" xfId="0" applyFill="1" applyBorder="1" applyAlignment="1">
      <alignment wrapText="1"/>
    </xf>
    <xf numFmtId="0" fontId="0" fillId="2" borderId="56" xfId="0" applyFill="1" applyBorder="1" applyAlignment="1">
      <alignment wrapText="1"/>
    </xf>
    <xf numFmtId="0" fontId="0" fillId="2" borderId="15" xfId="0" applyFill="1" applyBorder="1"/>
    <xf numFmtId="0" fontId="0" fillId="2" borderId="59" xfId="0" applyFill="1" applyBorder="1"/>
    <xf numFmtId="0" fontId="0" fillId="2" borderId="60" xfId="0" applyFill="1" applyBorder="1" applyAlignment="1">
      <alignment wrapText="1"/>
    </xf>
    <xf numFmtId="0" fontId="0" fillId="2" borderId="19" xfId="0" applyFill="1" applyBorder="1" applyAlignment="1">
      <alignment wrapText="1"/>
    </xf>
    <xf numFmtId="0" fontId="0" fillId="0" borderId="0" xfId="0" applyAlignment="1">
      <alignment wrapText="1"/>
    </xf>
    <xf numFmtId="0" fontId="0" fillId="0" borderId="45" xfId="0" applyBorder="1" applyAlignment="1" applyProtection="1">
      <alignment wrapText="1"/>
      <protection locked="0"/>
    </xf>
    <xf numFmtId="0" fontId="0" fillId="2" borderId="51" xfId="0" applyFill="1" applyBorder="1" applyAlignment="1">
      <alignment wrapText="1"/>
    </xf>
    <xf numFmtId="0" fontId="0" fillId="2" borderId="53" xfId="0" applyFill="1" applyBorder="1"/>
    <xf numFmtId="1" fontId="0" fillId="2" borderId="50" xfId="0" applyNumberFormat="1" applyFill="1" applyBorder="1"/>
    <xf numFmtId="0" fontId="22" fillId="2" borderId="38" xfId="0" applyFont="1" applyFill="1" applyBorder="1" applyProtection="1">
      <protection hidden="1"/>
    </xf>
    <xf numFmtId="0" fontId="0" fillId="2" borderId="6" xfId="0" applyFill="1" applyBorder="1"/>
    <xf numFmtId="0" fontId="3" fillId="2" borderId="9" xfId="0" applyFont="1" applyFill="1" applyBorder="1"/>
    <xf numFmtId="1" fontId="3" fillId="2" borderId="9" xfId="0" applyNumberFormat="1" applyFont="1" applyFill="1" applyBorder="1"/>
    <xf numFmtId="0" fontId="0" fillId="2" borderId="7" xfId="0" applyFill="1" applyBorder="1" applyAlignment="1">
      <alignment wrapText="1"/>
    </xf>
    <xf numFmtId="0" fontId="3" fillId="2" borderId="19" xfId="0" applyFont="1" applyFill="1" applyBorder="1" applyAlignment="1">
      <alignment horizontal="left"/>
    </xf>
    <xf numFmtId="1" fontId="3" fillId="2" borderId="19" xfId="0" applyNumberFormat="1" applyFont="1" applyFill="1" applyBorder="1"/>
    <xf numFmtId="1" fontId="0" fillId="2" borderId="0" xfId="0" applyNumberFormat="1" applyFill="1"/>
    <xf numFmtId="0" fontId="24" fillId="2" borderId="0" xfId="0" applyFont="1" applyFill="1"/>
    <xf numFmtId="1" fontId="24" fillId="2" borderId="0" xfId="0" applyNumberFormat="1" applyFont="1" applyFill="1" applyAlignment="1">
      <alignment horizontal="center"/>
    </xf>
    <xf numFmtId="0" fontId="24" fillId="2" borderId="0" xfId="0" applyFont="1" applyFill="1" applyAlignment="1">
      <alignment horizontal="center"/>
    </xf>
    <xf numFmtId="1" fontId="0" fillId="7" borderId="8" xfId="0" applyNumberFormat="1" applyFill="1" applyBorder="1" applyAlignment="1">
      <alignment horizontal="center"/>
    </xf>
    <xf numFmtId="0" fontId="0" fillId="7" borderId="33" xfId="0" applyFill="1" applyBorder="1" applyAlignment="1" applyProtection="1">
      <alignment horizontal="center"/>
      <protection hidden="1"/>
    </xf>
    <xf numFmtId="0" fontId="3" fillId="7" borderId="45" xfId="0" applyFont="1" applyFill="1" applyBorder="1" applyAlignment="1" applyProtection="1">
      <alignment horizontal="center"/>
      <protection hidden="1"/>
    </xf>
    <xf numFmtId="0" fontId="3" fillId="7" borderId="42" xfId="0" applyFont="1" applyFill="1" applyBorder="1" applyAlignment="1" applyProtection="1">
      <alignment horizontal="center"/>
      <protection hidden="1"/>
    </xf>
    <xf numFmtId="0" fontId="3" fillId="2" borderId="76" xfId="3" applyFont="1" applyFill="1" applyBorder="1" applyAlignment="1" applyProtection="1">
      <alignment vertical="top" wrapText="1"/>
      <protection hidden="1"/>
    </xf>
    <xf numFmtId="0" fontId="3" fillId="2" borderId="76" xfId="3" applyFont="1" applyFill="1" applyBorder="1" applyAlignment="1" applyProtection="1">
      <alignment horizontal="center" vertical="top"/>
      <protection hidden="1"/>
    </xf>
    <xf numFmtId="0" fontId="3" fillId="2" borderId="26" xfId="3" applyFont="1" applyFill="1" applyBorder="1" applyAlignment="1" applyProtection="1">
      <alignment vertical="top" wrapText="1"/>
      <protection hidden="1"/>
    </xf>
    <xf numFmtId="0" fontId="3" fillId="2" borderId="26" xfId="3" applyFont="1" applyFill="1" applyBorder="1" applyAlignment="1" applyProtection="1">
      <alignment horizontal="center" vertical="top"/>
      <protection hidden="1"/>
    </xf>
    <xf numFmtId="0" fontId="12" fillId="2" borderId="44" xfId="3" applyFont="1" applyFill="1" applyBorder="1" applyAlignment="1" applyProtection="1">
      <alignment vertical="top" wrapText="1"/>
      <protection hidden="1"/>
    </xf>
    <xf numFmtId="164" fontId="12" fillId="2" borderId="44" xfId="3" applyNumberFormat="1" applyFont="1" applyFill="1" applyBorder="1" applyAlignment="1" applyProtection="1">
      <alignment vertical="top" wrapText="1"/>
      <protection hidden="1"/>
    </xf>
    <xf numFmtId="164" fontId="12" fillId="2" borderId="38" xfId="3" applyNumberFormat="1" applyFont="1" applyFill="1" applyBorder="1" applyAlignment="1" applyProtection="1">
      <alignment vertical="top" wrapText="1"/>
      <protection hidden="1"/>
    </xf>
    <xf numFmtId="0" fontId="12" fillId="2" borderId="38" xfId="3" applyFont="1" applyFill="1" applyBorder="1" applyAlignment="1" applyProtection="1">
      <alignment vertical="top" wrapText="1"/>
      <protection hidden="1"/>
    </xf>
    <xf numFmtId="0" fontId="3" fillId="2" borderId="41" xfId="3" applyFont="1" applyFill="1" applyBorder="1" applyAlignment="1" applyProtection="1">
      <alignment vertical="top"/>
      <protection hidden="1"/>
    </xf>
    <xf numFmtId="0" fontId="3" fillId="2" borderId="41" xfId="3" applyFont="1" applyFill="1" applyBorder="1" applyAlignment="1" applyProtection="1">
      <alignment horizontal="center" vertical="top"/>
      <protection hidden="1"/>
    </xf>
    <xf numFmtId="164" fontId="3" fillId="2" borderId="41" xfId="3" applyNumberFormat="1" applyFont="1" applyFill="1" applyBorder="1" applyAlignment="1" applyProtection="1">
      <alignment vertical="top"/>
      <protection hidden="1"/>
    </xf>
    <xf numFmtId="0" fontId="3" fillId="2" borderId="9" xfId="3" applyFont="1" applyFill="1" applyBorder="1" applyAlignment="1" applyProtection="1">
      <alignment vertical="top"/>
      <protection hidden="1"/>
    </xf>
    <xf numFmtId="0" fontId="12" fillId="2" borderId="9" xfId="3" applyFont="1" applyFill="1" applyBorder="1" applyAlignment="1" applyProtection="1">
      <alignment vertical="top"/>
      <protection hidden="1"/>
    </xf>
    <xf numFmtId="0" fontId="29" fillId="2" borderId="9" xfId="3" applyFont="1" applyFill="1" applyBorder="1" applyAlignment="1" applyProtection="1">
      <alignment horizontal="center" vertical="top"/>
      <protection hidden="1"/>
    </xf>
    <xf numFmtId="2" fontId="30" fillId="2" borderId="9" xfId="3" applyNumberFormat="1" applyFont="1" applyFill="1" applyBorder="1" applyAlignment="1" applyProtection="1">
      <alignment vertical="top" wrapText="1"/>
      <protection hidden="1"/>
    </xf>
    <xf numFmtId="0" fontId="30" fillId="2" borderId="9" xfId="3" applyFont="1" applyFill="1" applyBorder="1" applyAlignment="1" applyProtection="1">
      <alignment vertical="top" wrapText="1"/>
      <protection hidden="1"/>
    </xf>
    <xf numFmtId="0" fontId="12" fillId="2" borderId="80" xfId="3" applyFont="1" applyFill="1" applyBorder="1" applyAlignment="1" applyProtection="1">
      <alignment vertical="top" wrapText="1"/>
      <protection hidden="1"/>
    </xf>
    <xf numFmtId="0" fontId="12" fillId="2" borderId="65" xfId="3" applyFont="1" applyFill="1" applyBorder="1" applyAlignment="1" applyProtection="1">
      <alignment horizontal="left" vertical="top" wrapText="1" indent="2"/>
      <protection hidden="1"/>
    </xf>
    <xf numFmtId="2" fontId="12" fillId="2" borderId="38" xfId="3" applyNumberFormat="1" applyFont="1" applyFill="1" applyBorder="1" applyAlignment="1" applyProtection="1">
      <alignment vertical="top" wrapText="1"/>
      <protection hidden="1"/>
    </xf>
    <xf numFmtId="0" fontId="12" fillId="2" borderId="38" xfId="3" applyFont="1" applyFill="1" applyBorder="1" applyAlignment="1" applyProtection="1">
      <alignment horizontal="left" vertical="top" wrapText="1" indent="2"/>
      <protection hidden="1"/>
    </xf>
    <xf numFmtId="0" fontId="3" fillId="2" borderId="41" xfId="3" applyFont="1" applyFill="1" applyBorder="1" applyAlignment="1" applyProtection="1">
      <alignment vertical="top" wrapText="1"/>
      <protection hidden="1"/>
    </xf>
    <xf numFmtId="0" fontId="3" fillId="2" borderId="41" xfId="3" applyFont="1" applyFill="1" applyBorder="1" applyAlignment="1" applyProtection="1">
      <alignment horizontal="center" vertical="top" wrapText="1"/>
      <protection hidden="1"/>
    </xf>
    <xf numFmtId="164" fontId="3" fillId="2" borderId="41" xfId="3" applyNumberFormat="1" applyFont="1" applyFill="1" applyBorder="1" applyAlignment="1" applyProtection="1">
      <alignment vertical="top" wrapText="1"/>
      <protection hidden="1"/>
    </xf>
    <xf numFmtId="0" fontId="3" fillId="2" borderId="9" xfId="3" applyFont="1" applyFill="1" applyBorder="1" applyAlignment="1" applyProtection="1">
      <alignment vertical="top" wrapText="1"/>
      <protection hidden="1"/>
    </xf>
    <xf numFmtId="0" fontId="3" fillId="2" borderId="9" xfId="3" applyFont="1" applyFill="1" applyBorder="1" applyAlignment="1" applyProtection="1">
      <alignment horizontal="center" vertical="top" wrapText="1"/>
      <protection hidden="1"/>
    </xf>
    <xf numFmtId="2" fontId="3" fillId="2" borderId="9" xfId="3" applyNumberFormat="1" applyFont="1" applyFill="1" applyBorder="1" applyAlignment="1" applyProtection="1">
      <alignment vertical="top" wrapText="1"/>
      <protection hidden="1"/>
    </xf>
    <xf numFmtId="0" fontId="12" fillId="2" borderId="9" xfId="3" applyFont="1" applyFill="1" applyBorder="1" applyAlignment="1" applyProtection="1">
      <alignment vertical="top" wrapText="1"/>
      <protection hidden="1"/>
    </xf>
    <xf numFmtId="0" fontId="32" fillId="2" borderId="67" xfId="3" applyFont="1" applyFill="1" applyBorder="1" applyAlignment="1" applyProtection="1">
      <alignment horizontal="left" vertical="top" wrapText="1" indent="2"/>
      <protection hidden="1"/>
    </xf>
    <xf numFmtId="0" fontId="31" fillId="2" borderId="67" xfId="3" applyFont="1" applyFill="1" applyBorder="1" applyAlignment="1" applyProtection="1">
      <alignment horizontal="right" vertical="top" wrapText="1"/>
      <protection hidden="1"/>
    </xf>
    <xf numFmtId="0" fontId="32" fillId="2" borderId="38" xfId="3" applyFont="1" applyFill="1" applyBorder="1" applyAlignment="1" applyProtection="1">
      <alignment horizontal="left" vertical="top" wrapText="1" indent="3"/>
      <protection hidden="1"/>
    </xf>
    <xf numFmtId="0" fontId="32" fillId="2" borderId="67" xfId="3" applyFont="1" applyFill="1" applyBorder="1" applyAlignment="1" applyProtection="1">
      <alignment horizontal="left" vertical="top" wrapText="1" indent="3"/>
      <protection hidden="1"/>
    </xf>
    <xf numFmtId="0" fontId="12" fillId="2" borderId="30" xfId="3" applyFont="1" applyFill="1" applyBorder="1" applyAlignment="1" applyProtection="1">
      <alignment vertical="top" wrapText="1"/>
      <protection hidden="1"/>
    </xf>
    <xf numFmtId="0" fontId="3" fillId="2" borderId="8" xfId="3" applyFont="1" applyFill="1" applyBorder="1" applyAlignment="1" applyProtection="1">
      <alignment horizontal="right" vertical="top" wrapText="1"/>
      <protection hidden="1"/>
    </xf>
    <xf numFmtId="0" fontId="3" fillId="2" borderId="28" xfId="3" applyFont="1" applyFill="1" applyBorder="1" applyAlignment="1" applyProtection="1">
      <alignment horizontal="center" vertical="top" wrapText="1"/>
      <protection hidden="1"/>
    </xf>
    <xf numFmtId="0" fontId="3" fillId="2" borderId="11" xfId="3" applyFont="1" applyFill="1" applyBorder="1" applyAlignment="1" applyProtection="1">
      <alignment horizontal="right" vertical="top" wrapText="1"/>
      <protection hidden="1"/>
    </xf>
    <xf numFmtId="0" fontId="3" fillId="2" borderId="11" xfId="3" applyFont="1" applyFill="1" applyBorder="1" applyAlignment="1" applyProtection="1">
      <alignment horizontal="center" vertical="top" wrapText="1"/>
      <protection hidden="1"/>
    </xf>
    <xf numFmtId="2" fontId="3" fillId="2" borderId="11" xfId="3" applyNumberFormat="1" applyFont="1" applyFill="1" applyBorder="1" applyAlignment="1" applyProtection="1">
      <alignment vertical="top" wrapText="1"/>
      <protection hidden="1"/>
    </xf>
    <xf numFmtId="0" fontId="3" fillId="2" borderId="11" xfId="3" applyFont="1" applyFill="1" applyBorder="1" applyAlignment="1" applyProtection="1">
      <alignment horizontal="left" vertical="top" wrapText="1"/>
      <protection hidden="1"/>
    </xf>
    <xf numFmtId="0" fontId="3" fillId="2" borderId="71" xfId="3" applyFont="1" applyFill="1" applyBorder="1" applyAlignment="1" applyProtection="1">
      <alignment horizontal="left" vertical="top" wrapText="1"/>
      <protection hidden="1"/>
    </xf>
    <xf numFmtId="0" fontId="6" fillId="2" borderId="65" xfId="3" applyFont="1" applyFill="1" applyBorder="1" applyAlignment="1" applyProtection="1">
      <alignment horizontal="center" vertical="top" wrapText="1"/>
      <protection hidden="1"/>
    </xf>
    <xf numFmtId="0" fontId="12" fillId="2" borderId="35" xfId="3" applyFont="1" applyFill="1" applyBorder="1" applyAlignment="1">
      <alignment vertical="top" wrapText="1"/>
    </xf>
    <xf numFmtId="15" fontId="12" fillId="2" borderId="38" xfId="3" applyNumberFormat="1" applyFont="1" applyFill="1" applyBorder="1" applyAlignment="1">
      <alignment horizontal="center" vertical="top" wrapText="1"/>
    </xf>
    <xf numFmtId="0" fontId="12" fillId="2" borderId="38" xfId="3" applyFont="1" applyFill="1" applyBorder="1" applyAlignment="1" applyProtection="1">
      <alignment vertical="top" wrapText="1"/>
      <protection locked="0"/>
    </xf>
    <xf numFmtId="15" fontId="12" fillId="2" borderId="53" xfId="3" applyNumberFormat="1" applyFont="1" applyFill="1" applyBorder="1" applyAlignment="1" applyProtection="1">
      <alignment horizontal="center" vertical="top" wrapText="1"/>
      <protection locked="0"/>
    </xf>
    <xf numFmtId="0" fontId="6" fillId="2" borderId="67" xfId="3" applyFont="1" applyFill="1" applyBorder="1" applyAlignment="1" applyProtection="1">
      <alignment horizontal="center" vertical="top" wrapText="1"/>
      <protection hidden="1"/>
    </xf>
    <xf numFmtId="0" fontId="12" fillId="2" borderId="65" xfId="3" applyFont="1" applyFill="1" applyBorder="1" applyAlignment="1">
      <alignment vertical="top" wrapText="1"/>
    </xf>
    <xf numFmtId="15" fontId="12" fillId="2" borderId="67" xfId="3" applyNumberFormat="1" applyFont="1" applyFill="1" applyBorder="1" applyAlignment="1">
      <alignment horizontal="center" vertical="top" wrapText="1"/>
    </xf>
    <xf numFmtId="0" fontId="12" fillId="2" borderId="9" xfId="3" applyFont="1" applyFill="1" applyBorder="1" applyAlignment="1" applyProtection="1">
      <alignment horizontal="left" vertical="top" wrapText="1"/>
      <protection hidden="1"/>
    </xf>
    <xf numFmtId="2" fontId="12" fillId="2" borderId="9" xfId="3" applyNumberFormat="1" applyFont="1" applyFill="1" applyBorder="1" applyAlignment="1" applyProtection="1">
      <alignment horizontal="center" vertical="top" wrapText="1"/>
      <protection hidden="1"/>
    </xf>
    <xf numFmtId="0" fontId="12" fillId="2" borderId="11" xfId="3" applyFont="1" applyFill="1" applyBorder="1" applyAlignment="1" applyProtection="1">
      <alignment vertical="top" wrapText="1"/>
      <protection locked="0"/>
    </xf>
    <xf numFmtId="0" fontId="3" fillId="2" borderId="16" xfId="3" applyFont="1" applyFill="1" applyBorder="1" applyAlignment="1" applyProtection="1">
      <alignment vertical="top"/>
      <protection hidden="1"/>
    </xf>
    <xf numFmtId="0" fontId="3" fillId="2" borderId="16" xfId="3" applyFont="1" applyFill="1" applyBorder="1" applyAlignment="1" applyProtection="1">
      <alignment horizontal="center" vertical="top"/>
      <protection hidden="1"/>
    </xf>
    <xf numFmtId="0" fontId="3" fillId="2" borderId="16" xfId="3" applyFont="1" applyFill="1" applyBorder="1" applyAlignment="1" applyProtection="1">
      <alignment vertical="top" wrapText="1"/>
      <protection hidden="1"/>
    </xf>
    <xf numFmtId="0" fontId="3" fillId="2" borderId="12" xfId="3" applyFont="1" applyFill="1" applyBorder="1" applyAlignment="1" applyProtection="1">
      <alignment vertical="top"/>
      <protection hidden="1"/>
    </xf>
    <xf numFmtId="0" fontId="3" fillId="2" borderId="11" xfId="3" applyFont="1" applyFill="1" applyBorder="1" applyAlignment="1" applyProtection="1">
      <alignment vertical="top"/>
      <protection hidden="1"/>
    </xf>
    <xf numFmtId="0" fontId="3" fillId="2" borderId="28" xfId="3" applyFont="1" applyFill="1" applyBorder="1" applyAlignment="1" applyProtection="1">
      <alignment vertical="top"/>
      <protection hidden="1"/>
    </xf>
    <xf numFmtId="0" fontId="3" fillId="2" borderId="28" xfId="3" applyFont="1" applyFill="1" applyBorder="1" applyAlignment="1" applyProtection="1">
      <alignment horizontal="center" vertical="top"/>
      <protection hidden="1"/>
    </xf>
    <xf numFmtId="0" fontId="3" fillId="2" borderId="15" xfId="3" applyFont="1" applyFill="1" applyBorder="1" applyAlignment="1" applyProtection="1">
      <alignment horizontal="center" vertical="top" wrapText="1"/>
      <protection hidden="1"/>
    </xf>
    <xf numFmtId="0" fontId="3" fillId="2" borderId="8" xfId="3" applyFont="1" applyFill="1" applyBorder="1" applyAlignment="1" applyProtection="1">
      <alignment horizontal="center" vertical="top"/>
      <protection hidden="1"/>
    </xf>
    <xf numFmtId="0" fontId="12" fillId="2" borderId="8" xfId="3" applyFont="1" applyFill="1" applyBorder="1" applyAlignment="1" applyProtection="1">
      <alignment vertical="top"/>
      <protection hidden="1"/>
    </xf>
    <xf numFmtId="0" fontId="12" fillId="2" borderId="8" xfId="3" applyFont="1" applyFill="1" applyBorder="1" applyAlignment="1" applyProtection="1">
      <alignment vertical="top" wrapText="1"/>
      <protection hidden="1"/>
    </xf>
    <xf numFmtId="0" fontId="12" fillId="2" borderId="61" xfId="3" applyFont="1" applyFill="1" applyBorder="1" applyAlignment="1" applyProtection="1">
      <alignment horizontal="left" vertical="top" wrapText="1"/>
      <protection hidden="1"/>
    </xf>
    <xf numFmtId="0" fontId="3" fillId="2" borderId="61" xfId="3" applyFont="1" applyFill="1" applyBorder="1" applyAlignment="1" applyProtection="1">
      <alignment horizontal="center" vertical="top"/>
      <protection hidden="1"/>
    </xf>
    <xf numFmtId="2" fontId="12" fillId="2" borderId="61" xfId="3" applyNumberFormat="1" applyFont="1" applyFill="1" applyBorder="1" applyAlignment="1" applyProtection="1">
      <alignment horizontal="center" vertical="top" wrapText="1"/>
      <protection hidden="1"/>
    </xf>
    <xf numFmtId="0" fontId="12" fillId="2" borderId="61" xfId="3" applyFont="1" applyFill="1" applyBorder="1" applyAlignment="1" applyProtection="1">
      <alignment vertical="top" wrapText="1"/>
      <protection locked="0"/>
    </xf>
    <xf numFmtId="0" fontId="3" fillId="2" borderId="90" xfId="3" applyFont="1" applyFill="1" applyBorder="1" applyAlignment="1" applyProtection="1">
      <alignment vertical="top"/>
      <protection hidden="1"/>
    </xf>
    <xf numFmtId="0" fontId="3" fillId="2" borderId="90" xfId="3" applyFont="1" applyFill="1" applyBorder="1" applyAlignment="1" applyProtection="1">
      <alignment horizontal="center" vertical="top"/>
      <protection hidden="1"/>
    </xf>
    <xf numFmtId="0" fontId="28" fillId="2" borderId="58" xfId="3" applyFont="1" applyFill="1" applyBorder="1" applyAlignment="1" applyProtection="1">
      <alignment horizontal="center"/>
      <protection hidden="1"/>
    </xf>
    <xf numFmtId="0" fontId="12" fillId="2" borderId="16" xfId="3" applyFont="1" applyFill="1" applyBorder="1" applyAlignment="1" applyProtection="1">
      <alignment vertical="top"/>
      <protection hidden="1"/>
    </xf>
    <xf numFmtId="0" fontId="13" fillId="2" borderId="11" xfId="3" applyFont="1" applyFill="1" applyBorder="1" applyAlignment="1" applyProtection="1">
      <alignment vertical="top" wrapText="1"/>
      <protection hidden="1"/>
    </xf>
    <xf numFmtId="0" fontId="12" fillId="2" borderId="16" xfId="3" applyFont="1" applyFill="1" applyBorder="1" applyAlignment="1" applyProtection="1">
      <alignment horizontal="center" vertical="top"/>
      <protection hidden="1"/>
    </xf>
    <xf numFmtId="2" fontId="12" fillId="2" borderId="16" xfId="3" applyNumberFormat="1" applyFont="1" applyFill="1" applyBorder="1" applyAlignment="1" applyProtection="1">
      <alignment vertical="top"/>
      <protection hidden="1"/>
    </xf>
    <xf numFmtId="0" fontId="3" fillId="2" borderId="6" xfId="3" applyFont="1" applyFill="1" applyBorder="1" applyAlignment="1" applyProtection="1">
      <alignment horizontal="left" vertical="top"/>
      <protection hidden="1"/>
    </xf>
    <xf numFmtId="0" fontId="3" fillId="2" borderId="9" xfId="3" applyFont="1" applyFill="1" applyBorder="1" applyAlignment="1" applyProtection="1">
      <alignment horizontal="left" vertical="top"/>
      <protection hidden="1"/>
    </xf>
    <xf numFmtId="2" fontId="3" fillId="2" borderId="8" xfId="3" applyNumberFormat="1" applyFont="1" applyFill="1" applyBorder="1" applyAlignment="1" applyProtection="1">
      <alignment horizontal="center" vertical="top"/>
      <protection hidden="1"/>
    </xf>
    <xf numFmtId="0" fontId="3" fillId="2" borderId="6" xfId="3" applyFont="1" applyFill="1" applyBorder="1" applyAlignment="1" applyProtection="1">
      <alignment horizontal="center" vertical="top"/>
      <protection hidden="1"/>
    </xf>
    <xf numFmtId="0" fontId="3" fillId="2" borderId="9" xfId="3" applyFont="1" applyFill="1" applyBorder="1" applyAlignment="1" applyProtection="1">
      <alignment horizontal="center" vertical="top"/>
      <protection hidden="1"/>
    </xf>
    <xf numFmtId="0" fontId="3" fillId="2" borderId="7" xfId="3" applyFont="1" applyFill="1" applyBorder="1" applyAlignment="1" applyProtection="1">
      <alignment horizontal="center" vertical="top"/>
      <protection hidden="1"/>
    </xf>
    <xf numFmtId="0" fontId="28" fillId="2" borderId="19" xfId="3" applyFont="1" applyFill="1" applyBorder="1" applyProtection="1">
      <protection hidden="1"/>
    </xf>
    <xf numFmtId="0" fontId="3" fillId="4" borderId="44" xfId="3" applyFont="1" applyFill="1" applyBorder="1" applyAlignment="1" applyProtection="1">
      <alignment horizontal="center" vertical="top"/>
      <protection locked="0" hidden="1"/>
    </xf>
    <xf numFmtId="0" fontId="3" fillId="4" borderId="38" xfId="3" applyFont="1" applyFill="1" applyBorder="1" applyAlignment="1" applyProtection="1">
      <alignment horizontal="center" vertical="top"/>
      <protection locked="0" hidden="1"/>
    </xf>
    <xf numFmtId="164" fontId="12" fillId="7" borderId="38" xfId="3" applyNumberFormat="1" applyFont="1" applyFill="1" applyBorder="1" applyAlignment="1" applyProtection="1">
      <alignment vertical="top" wrapText="1"/>
      <protection hidden="1"/>
    </xf>
    <xf numFmtId="164" fontId="12" fillId="7" borderId="44" xfId="3" applyNumberFormat="1" applyFont="1" applyFill="1" applyBorder="1" applyAlignment="1" applyProtection="1">
      <alignment vertical="top" wrapText="1"/>
      <protection hidden="1"/>
    </xf>
    <xf numFmtId="0" fontId="12" fillId="7" borderId="38" xfId="3" applyFont="1" applyFill="1" applyBorder="1" applyAlignment="1" applyProtection="1">
      <alignment vertical="top" wrapText="1"/>
      <protection hidden="1"/>
    </xf>
    <xf numFmtId="2" fontId="3" fillId="7" borderId="67" xfId="3" applyNumberFormat="1" applyFont="1" applyFill="1" applyBorder="1" applyAlignment="1" applyProtection="1">
      <alignment vertical="top" wrapText="1"/>
      <protection hidden="1"/>
    </xf>
    <xf numFmtId="164" fontId="3" fillId="7" borderId="41" xfId="3" applyNumberFormat="1" applyFont="1" applyFill="1" applyBorder="1" applyAlignment="1" applyProtection="1">
      <alignment vertical="top" wrapText="1"/>
      <protection hidden="1"/>
    </xf>
    <xf numFmtId="164" fontId="3" fillId="7" borderId="41" xfId="3" applyNumberFormat="1" applyFont="1" applyFill="1" applyBorder="1" applyAlignment="1" applyProtection="1">
      <alignment vertical="top"/>
      <protection hidden="1"/>
    </xf>
    <xf numFmtId="0" fontId="3" fillId="4" borderId="30" xfId="3" applyFont="1" applyFill="1" applyBorder="1" applyAlignment="1" applyProtection="1">
      <alignment horizontal="center" vertical="top"/>
      <protection locked="0" hidden="1"/>
    </xf>
    <xf numFmtId="2" fontId="3" fillId="7" borderId="8" xfId="3" applyNumberFormat="1" applyFont="1" applyFill="1" applyBorder="1" applyAlignment="1" applyProtection="1">
      <alignment vertical="top" wrapText="1"/>
      <protection hidden="1"/>
    </xf>
    <xf numFmtId="164" fontId="12" fillId="7" borderId="30" xfId="3" applyNumberFormat="1" applyFont="1" applyFill="1" applyBorder="1" applyAlignment="1" applyProtection="1">
      <alignment vertical="top" wrapText="1"/>
      <protection hidden="1"/>
    </xf>
    <xf numFmtId="0" fontId="12" fillId="7" borderId="8" xfId="3" applyFont="1" applyFill="1" applyBorder="1" applyAlignment="1" applyProtection="1">
      <alignment horizontal="center" vertical="top"/>
      <protection hidden="1"/>
    </xf>
    <xf numFmtId="0" fontId="12" fillId="7" borderId="6" xfId="3" applyFont="1" applyFill="1" applyBorder="1" applyAlignment="1" applyProtection="1">
      <alignment horizontal="center" vertical="top" wrapText="1"/>
      <protection hidden="1"/>
    </xf>
    <xf numFmtId="0" fontId="12" fillId="2" borderId="0" xfId="3" applyFont="1" applyFill="1" applyBorder="1" applyAlignment="1" applyProtection="1">
      <alignment horizontal="left" vertical="top" wrapText="1"/>
      <protection hidden="1"/>
    </xf>
    <xf numFmtId="0" fontId="3" fillId="2" borderId="0" xfId="3" applyFont="1" applyFill="1" applyBorder="1" applyAlignment="1" applyProtection="1">
      <alignment horizontal="center" vertical="top"/>
      <protection hidden="1"/>
    </xf>
    <xf numFmtId="2" fontId="12" fillId="2" borderId="0" xfId="3" applyNumberFormat="1" applyFont="1" applyFill="1" applyBorder="1" applyAlignment="1" applyProtection="1">
      <alignment horizontal="center" vertical="top" wrapText="1"/>
      <protection hidden="1"/>
    </xf>
    <xf numFmtId="0" fontId="12" fillId="2" borderId="0" xfId="3" applyFont="1" applyFill="1" applyBorder="1" applyAlignment="1" applyProtection="1">
      <alignment vertical="top" wrapText="1"/>
      <protection locked="0"/>
    </xf>
    <xf numFmtId="0" fontId="12" fillId="7" borderId="25" xfId="3" applyFont="1" applyFill="1" applyBorder="1" applyAlignment="1" applyProtection="1">
      <alignment horizontal="center" vertical="center"/>
      <protection hidden="1"/>
    </xf>
    <xf numFmtId="0" fontId="33" fillId="7" borderId="58" xfId="3" applyFont="1" applyFill="1" applyBorder="1" applyAlignment="1" applyProtection="1">
      <alignment horizontal="center"/>
      <protection hidden="1"/>
    </xf>
    <xf numFmtId="0" fontId="3" fillId="7" borderId="41" xfId="3" applyFont="1" applyFill="1" applyBorder="1" applyAlignment="1" applyProtection="1">
      <alignment horizontal="center" vertical="top" wrapText="1"/>
      <protection hidden="1"/>
    </xf>
    <xf numFmtId="0" fontId="13" fillId="2" borderId="8" xfId="3" applyFont="1" applyFill="1" applyBorder="1" applyAlignment="1" applyProtection="1">
      <alignment horizontal="center" vertical="center"/>
      <protection hidden="1"/>
    </xf>
    <xf numFmtId="0" fontId="13" fillId="7" borderId="8" xfId="3" applyFont="1" applyFill="1" applyBorder="1" applyAlignment="1" applyProtection="1">
      <alignment horizontal="center" vertical="center" wrapText="1"/>
      <protection hidden="1"/>
    </xf>
    <xf numFmtId="0" fontId="18" fillId="7" borderId="8" xfId="0" applyFont="1" applyFill="1" applyBorder="1" applyAlignment="1">
      <alignment horizontal="center"/>
    </xf>
    <xf numFmtId="0" fontId="0" fillId="2" borderId="1" xfId="0" applyFill="1" applyBorder="1" applyProtection="1">
      <protection hidden="1"/>
    </xf>
    <xf numFmtId="0" fontId="0" fillId="2" borderId="2" xfId="0" applyFill="1" applyBorder="1" applyProtection="1">
      <protection hidden="1"/>
    </xf>
    <xf numFmtId="0" fontId="0" fillId="2" borderId="24" xfId="0" applyFill="1" applyBorder="1" applyProtection="1">
      <protection hidden="1"/>
    </xf>
    <xf numFmtId="0" fontId="0" fillId="2" borderId="4" xfId="0" applyFill="1" applyBorder="1" applyProtection="1">
      <protection hidden="1"/>
    </xf>
    <xf numFmtId="0" fontId="11" fillId="12" borderId="10" xfId="0" applyFont="1" applyFill="1" applyBorder="1" applyProtection="1">
      <protection hidden="1"/>
    </xf>
    <xf numFmtId="0" fontId="11" fillId="12" borderId="13" xfId="0" applyFont="1" applyFill="1" applyBorder="1" applyProtection="1">
      <protection hidden="1"/>
    </xf>
    <xf numFmtId="0" fontId="11" fillId="12" borderId="15" xfId="0" applyFont="1" applyFill="1" applyBorder="1" applyProtection="1">
      <protection hidden="1"/>
    </xf>
    <xf numFmtId="0" fontId="0" fillId="2" borderId="18" xfId="0" applyFill="1" applyBorder="1" applyProtection="1">
      <protection hidden="1"/>
    </xf>
    <xf numFmtId="0" fontId="39" fillId="2" borderId="19" xfId="0" applyFont="1" applyFill="1" applyBorder="1" applyProtection="1">
      <protection hidden="1"/>
    </xf>
    <xf numFmtId="0" fontId="0" fillId="2" borderId="19" xfId="0" applyFill="1" applyBorder="1" applyProtection="1">
      <protection hidden="1"/>
    </xf>
    <xf numFmtId="2" fontId="12" fillId="7" borderId="8" xfId="3" applyNumberFormat="1" applyFont="1" applyFill="1" applyBorder="1" applyAlignment="1" applyProtection="1">
      <alignment horizontal="center" vertical="top" wrapText="1"/>
      <protection hidden="1"/>
    </xf>
    <xf numFmtId="2" fontId="12" fillId="2" borderId="8" xfId="3" applyNumberFormat="1" applyFont="1" applyFill="1" applyBorder="1" applyAlignment="1" applyProtection="1">
      <alignment horizontal="center" vertical="top"/>
      <protection hidden="1"/>
    </xf>
    <xf numFmtId="2" fontId="12" fillId="2" borderId="8" xfId="3" applyNumberFormat="1" applyFont="1" applyFill="1" applyBorder="1" applyAlignment="1" applyProtection="1">
      <alignment horizontal="center" vertical="top" wrapText="1"/>
      <protection hidden="1"/>
    </xf>
    <xf numFmtId="2" fontId="12" fillId="7" borderId="8" xfId="3" applyNumberFormat="1" applyFont="1" applyFill="1" applyBorder="1" applyAlignment="1" applyProtection="1">
      <alignment horizontal="center" vertical="top"/>
      <protection hidden="1"/>
    </xf>
    <xf numFmtId="1" fontId="12" fillId="7" borderId="8" xfId="3" applyNumberFormat="1" applyFont="1" applyFill="1" applyBorder="1" applyAlignment="1" applyProtection="1">
      <alignment horizontal="center" vertical="top" wrapText="1"/>
      <protection hidden="1"/>
    </xf>
    <xf numFmtId="0" fontId="5" fillId="8" borderId="8"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25" xfId="0" applyFont="1" applyFill="1" applyBorder="1" applyAlignment="1">
      <alignment horizontal="center" vertical="center" wrapText="1"/>
    </xf>
    <xf numFmtId="0" fontId="44" fillId="7" borderId="8" xfId="0" applyFont="1" applyFill="1" applyBorder="1" applyAlignment="1">
      <alignment horizontal="center"/>
    </xf>
    <xf numFmtId="2" fontId="3" fillId="2" borderId="8" xfId="3" applyNumberFormat="1" applyFont="1" applyFill="1" applyBorder="1" applyAlignment="1" applyProtection="1">
      <alignment horizontal="center" vertical="center"/>
      <protection hidden="1"/>
    </xf>
    <xf numFmtId="2" fontId="12" fillId="7" borderId="8" xfId="3" applyNumberFormat="1" applyFont="1" applyFill="1" applyBorder="1" applyAlignment="1" applyProtection="1">
      <alignment horizontal="center" vertical="center"/>
      <protection hidden="1"/>
    </xf>
    <xf numFmtId="1" fontId="12" fillId="7" borderId="8" xfId="3" applyNumberFormat="1" applyFont="1" applyFill="1" applyBorder="1" applyAlignment="1" applyProtection="1">
      <alignment horizontal="center" vertical="center" wrapText="1"/>
      <protection hidden="1"/>
    </xf>
    <xf numFmtId="2" fontId="12" fillId="2" borderId="8" xfId="3" applyNumberFormat="1" applyFont="1" applyFill="1" applyBorder="1" applyAlignment="1" applyProtection="1">
      <alignment horizontal="center" vertical="center"/>
      <protection hidden="1"/>
    </xf>
    <xf numFmtId="0" fontId="0" fillId="0" borderId="0" xfId="0" applyAlignment="1">
      <alignment horizontal="center" vertical="center"/>
    </xf>
    <xf numFmtId="0" fontId="12" fillId="2" borderId="38" xfId="3" applyFont="1" applyFill="1" applyBorder="1" applyAlignment="1" applyProtection="1">
      <alignment horizontal="center" vertical="top"/>
      <protection hidden="1"/>
    </xf>
    <xf numFmtId="0" fontId="12" fillId="2" borderId="67" xfId="3" applyFont="1" applyFill="1" applyBorder="1" applyAlignment="1" applyProtection="1">
      <alignment horizontal="center" vertical="top"/>
      <protection hidden="1"/>
    </xf>
    <xf numFmtId="164" fontId="12" fillId="2" borderId="38" xfId="3" applyNumberFormat="1" applyFont="1" applyFill="1" applyBorder="1" applyAlignment="1" applyProtection="1">
      <alignment horizontal="center" vertical="top"/>
      <protection hidden="1"/>
    </xf>
    <xf numFmtId="164" fontId="12" fillId="2" borderId="67" xfId="3" applyNumberFormat="1" applyFont="1" applyFill="1" applyBorder="1" applyAlignment="1" applyProtection="1">
      <alignment horizontal="center" vertical="top"/>
      <protection hidden="1"/>
    </xf>
    <xf numFmtId="164" fontId="12" fillId="2" borderId="38" xfId="3" applyNumberFormat="1" applyFont="1" applyFill="1" applyBorder="1" applyAlignment="1" applyProtection="1">
      <alignment horizontal="center" vertical="top" wrapText="1"/>
      <protection hidden="1"/>
    </xf>
    <xf numFmtId="164" fontId="12" fillId="2" borderId="67" xfId="3" applyNumberFormat="1" applyFont="1" applyFill="1" applyBorder="1" applyAlignment="1" applyProtection="1">
      <alignment horizontal="center" vertical="top" wrapText="1"/>
      <protection hidden="1"/>
    </xf>
    <xf numFmtId="164" fontId="12" fillId="2" borderId="87" xfId="3" applyNumberFormat="1" applyFont="1" applyFill="1" applyBorder="1" applyAlignment="1" applyProtection="1">
      <alignment horizontal="center" vertical="top" wrapText="1"/>
      <protection hidden="1"/>
    </xf>
    <xf numFmtId="164" fontId="12" fillId="2" borderId="88" xfId="3" applyNumberFormat="1" applyFont="1" applyFill="1" applyBorder="1" applyAlignment="1" applyProtection="1">
      <alignment horizontal="center" vertical="top" wrapText="1"/>
      <protection hidden="1"/>
    </xf>
    <xf numFmtId="164" fontId="12" fillId="2" borderId="66" xfId="3" applyNumberFormat="1" applyFont="1" applyFill="1" applyBorder="1" applyAlignment="1" applyProtection="1">
      <alignment horizontal="center" vertical="top" wrapText="1"/>
      <protection hidden="1"/>
    </xf>
    <xf numFmtId="164" fontId="12" fillId="2" borderId="30" xfId="3" applyNumberFormat="1" applyFont="1" applyFill="1" applyBorder="1" applyAlignment="1" applyProtection="1">
      <alignment horizontal="center" vertical="top" wrapText="1"/>
      <protection hidden="1"/>
    </xf>
    <xf numFmtId="0" fontId="12" fillId="2" borderId="8" xfId="3" applyFont="1" applyFill="1" applyBorder="1" applyAlignment="1" applyProtection="1">
      <alignment horizontal="left" vertical="top" wrapText="1"/>
      <protection hidden="1"/>
    </xf>
    <xf numFmtId="0" fontId="12" fillId="2" borderId="8" xfId="3" applyFont="1" applyFill="1" applyBorder="1" applyAlignment="1" applyProtection="1">
      <alignment horizontal="left" vertical="top"/>
      <protection hidden="1"/>
    </xf>
    <xf numFmtId="0" fontId="12" fillId="2" borderId="8" xfId="3" applyFont="1" applyFill="1" applyBorder="1" applyAlignment="1" applyProtection="1">
      <alignment horizontal="left" vertical="center"/>
      <protection hidden="1"/>
    </xf>
    <xf numFmtId="0" fontId="0" fillId="2" borderId="13" xfId="0" applyFill="1" applyBorder="1" applyAlignment="1">
      <alignment horizontal="center" vertical="center"/>
    </xf>
    <xf numFmtId="0" fontId="0" fillId="2" borderId="19" xfId="0" applyFill="1" applyBorder="1" applyAlignment="1">
      <alignment horizontal="center" vertical="center"/>
    </xf>
    <xf numFmtId="0" fontId="0" fillId="0" borderId="0" xfId="0" applyFill="1" applyAlignment="1">
      <alignment horizontal="center" vertical="center"/>
    </xf>
    <xf numFmtId="0" fontId="45" fillId="0" borderId="0" xfId="0" applyFont="1"/>
    <xf numFmtId="0" fontId="45" fillId="2" borderId="19" xfId="0" applyFont="1" applyFill="1" applyBorder="1"/>
    <xf numFmtId="0" fontId="32" fillId="2" borderId="87" xfId="3" applyFont="1" applyFill="1" applyBorder="1" applyAlignment="1" applyProtection="1">
      <alignment horizontal="left" vertical="top" wrapText="1" indent="1"/>
      <protection hidden="1"/>
    </xf>
    <xf numFmtId="0" fontId="12" fillId="2" borderId="88" xfId="3" applyFont="1" applyFill="1" applyBorder="1" applyAlignment="1" applyProtection="1">
      <alignment horizontal="left" vertical="top" wrapText="1" indent="1"/>
      <protection hidden="1"/>
    </xf>
    <xf numFmtId="0" fontId="12" fillId="2" borderId="66" xfId="3" applyFont="1" applyFill="1" applyBorder="1" applyAlignment="1" applyProtection="1">
      <alignment horizontal="left" vertical="top" wrapText="1" indent="1"/>
      <protection hidden="1"/>
    </xf>
    <xf numFmtId="0" fontId="3" fillId="2" borderId="0" xfId="0" applyFont="1" applyFill="1" applyAlignment="1">
      <alignment horizontal="center" vertical="center" wrapText="1"/>
    </xf>
    <xf numFmtId="0" fontId="3" fillId="2" borderId="0" xfId="0" applyFont="1" applyFill="1" applyAlignment="1">
      <alignment horizontal="left"/>
    </xf>
    <xf numFmtId="0" fontId="3" fillId="2" borderId="7" xfId="0" applyFont="1" applyFill="1" applyBorder="1" applyAlignment="1">
      <alignment horizontal="center"/>
    </xf>
    <xf numFmtId="0" fontId="11" fillId="2" borderId="23" xfId="0" applyFont="1" applyFill="1" applyBorder="1" applyAlignment="1">
      <alignment horizontal="center" vertical="center"/>
    </xf>
    <xf numFmtId="0" fontId="12" fillId="7" borderId="8" xfId="0" applyFont="1" applyFill="1" applyBorder="1" applyAlignment="1">
      <alignment horizontal="center"/>
    </xf>
    <xf numFmtId="0" fontId="20" fillId="2" borderId="23" xfId="0" applyFont="1" applyFill="1" applyBorder="1" applyAlignment="1">
      <alignment horizontal="center" vertical="center"/>
    </xf>
    <xf numFmtId="0" fontId="3" fillId="2" borderId="8" xfId="0" applyFont="1" applyFill="1" applyBorder="1" applyAlignment="1">
      <alignment horizontal="center"/>
    </xf>
    <xf numFmtId="0" fontId="0" fillId="6" borderId="6" xfId="0" applyFill="1" applyBorder="1" applyAlignment="1" applyProtection="1">
      <alignment horizontal="left"/>
      <protection locked="0"/>
    </xf>
    <xf numFmtId="0" fontId="0" fillId="4" borderId="8" xfId="0" applyFill="1" applyBorder="1" applyProtection="1">
      <protection locked="0"/>
    </xf>
    <xf numFmtId="0" fontId="14" fillId="17" borderId="25" xfId="0" applyFont="1" applyFill="1" applyBorder="1" applyAlignment="1">
      <alignment horizontal="center" vertical="center" wrapText="1"/>
    </xf>
    <xf numFmtId="0" fontId="3" fillId="17" borderId="25" xfId="0" applyFont="1" applyFill="1" applyBorder="1" applyAlignment="1">
      <alignment horizontal="center" wrapText="1"/>
    </xf>
    <xf numFmtId="0" fontId="3" fillId="17" borderId="8" xfId="0" applyFont="1" applyFill="1" applyBorder="1" applyAlignment="1">
      <alignment horizontal="center" vertical="center"/>
    </xf>
    <xf numFmtId="0" fontId="3" fillId="17" borderId="8" xfId="0" applyFont="1" applyFill="1" applyBorder="1" applyAlignment="1">
      <alignment horizontal="center" vertical="center" wrapText="1"/>
    </xf>
    <xf numFmtId="0" fontId="12" fillId="17" borderId="8" xfId="0" applyFont="1" applyFill="1" applyBorder="1" applyAlignment="1">
      <alignment horizontal="center"/>
    </xf>
    <xf numFmtId="0" fontId="0" fillId="17" borderId="8" xfId="0" applyFill="1" applyBorder="1"/>
    <xf numFmtId="0" fontId="0" fillId="2" borderId="0" xfId="0" applyFill="1" applyProtection="1"/>
    <xf numFmtId="0" fontId="0" fillId="7" borderId="14" xfId="0" applyFill="1" applyBorder="1" applyAlignment="1" applyProtection="1">
      <alignment horizontal="center" vertical="center"/>
      <protection hidden="1"/>
    </xf>
    <xf numFmtId="0" fontId="0" fillId="0" borderId="0" xfId="0" applyProtection="1">
      <protection hidden="1"/>
    </xf>
    <xf numFmtId="0" fontId="3" fillId="2" borderId="8" xfId="0" applyFont="1" applyFill="1" applyBorder="1" applyProtection="1">
      <protection hidden="1"/>
    </xf>
    <xf numFmtId="0" fontId="0" fillId="2" borderId="10" xfId="0" applyFill="1" applyBorder="1" applyProtection="1">
      <protection hidden="1"/>
    </xf>
    <xf numFmtId="0" fontId="0" fillId="2" borderId="61" xfId="0" applyFill="1" applyBorder="1" applyAlignment="1" applyProtection="1">
      <alignment horizontal="center"/>
      <protection hidden="1"/>
    </xf>
    <xf numFmtId="0" fontId="0" fillId="2" borderId="62" xfId="0" applyFill="1" applyBorder="1" applyAlignment="1" applyProtection="1">
      <alignment horizontal="center"/>
      <protection hidden="1"/>
    </xf>
    <xf numFmtId="0" fontId="0" fillId="2" borderId="64" xfId="0" applyFill="1" applyBorder="1" applyAlignment="1" applyProtection="1">
      <alignment horizontal="left" indent="2"/>
      <protection hidden="1"/>
    </xf>
    <xf numFmtId="0" fontId="0" fillId="2" borderId="65" xfId="0" applyFill="1" applyBorder="1" applyAlignment="1" applyProtection="1">
      <alignment horizontal="center"/>
      <protection hidden="1"/>
    </xf>
    <xf numFmtId="0" fontId="3" fillId="2" borderId="13" xfId="0" applyFont="1" applyFill="1" applyBorder="1" applyAlignment="1" applyProtection="1">
      <alignment horizontal="center"/>
      <protection hidden="1"/>
    </xf>
    <xf numFmtId="0" fontId="0" fillId="2" borderId="55" xfId="0" applyFill="1" applyBorder="1" applyAlignment="1" applyProtection="1">
      <alignment horizontal="center"/>
      <protection hidden="1"/>
    </xf>
    <xf numFmtId="0" fontId="0" fillId="2" borderId="47" xfId="0" applyFill="1" applyBorder="1" applyAlignment="1" applyProtection="1">
      <alignment horizontal="center"/>
      <protection hidden="1"/>
    </xf>
    <xf numFmtId="0" fontId="0" fillId="2" borderId="29" xfId="0" applyFill="1" applyBorder="1" applyAlignment="1" applyProtection="1">
      <alignment horizontal="left" indent="2"/>
      <protection hidden="1"/>
    </xf>
    <xf numFmtId="0" fontId="0" fillId="2" borderId="66" xfId="0" applyFill="1" applyBorder="1" applyAlignment="1" applyProtection="1">
      <alignment horizontal="center"/>
      <protection hidden="1"/>
    </xf>
    <xf numFmtId="0" fontId="0" fillId="2" borderId="11" xfId="0" applyFill="1" applyBorder="1" applyAlignment="1" applyProtection="1">
      <alignment horizontal="center"/>
      <protection hidden="1"/>
    </xf>
    <xf numFmtId="0" fontId="0" fillId="2" borderId="64" xfId="0" applyFill="1" applyBorder="1" applyAlignment="1" applyProtection="1">
      <alignment horizontal="left" indent="3"/>
      <protection hidden="1"/>
    </xf>
    <xf numFmtId="0" fontId="0" fillId="2" borderId="29" xfId="0" applyFill="1" applyBorder="1" applyAlignment="1" applyProtection="1">
      <alignment horizontal="left" indent="3"/>
      <protection hidden="1"/>
    </xf>
    <xf numFmtId="0" fontId="0" fillId="2" borderId="16" xfId="0" applyFill="1" applyBorder="1" applyAlignment="1" applyProtection="1">
      <alignment horizontal="center"/>
      <protection hidden="1"/>
    </xf>
    <xf numFmtId="0" fontId="0" fillId="2" borderId="68" xfId="0" applyFill="1" applyBorder="1" applyAlignment="1" applyProtection="1">
      <alignment horizontal="left"/>
      <protection hidden="1"/>
    </xf>
    <xf numFmtId="0" fontId="0" fillId="2" borderId="69" xfId="0" applyFill="1" applyBorder="1" applyAlignment="1" applyProtection="1">
      <alignment horizontal="center"/>
      <protection hidden="1"/>
    </xf>
    <xf numFmtId="0" fontId="0" fillId="2" borderId="13" xfId="0" applyFill="1" applyBorder="1" applyAlignment="1" applyProtection="1">
      <alignment horizontal="left"/>
      <protection hidden="1"/>
    </xf>
    <xf numFmtId="0" fontId="0" fillId="2" borderId="15" xfId="0" applyFill="1" applyBorder="1" applyAlignment="1" applyProtection="1">
      <alignment horizontal="center"/>
      <protection hidden="1"/>
    </xf>
    <xf numFmtId="0" fontId="0" fillId="2" borderId="13" xfId="0" applyFill="1" applyBorder="1" applyAlignment="1" applyProtection="1">
      <alignment horizontal="left" vertical="center" wrapText="1"/>
      <protection hidden="1"/>
    </xf>
    <xf numFmtId="0" fontId="0" fillId="2" borderId="29" xfId="0" applyFill="1" applyBorder="1" applyAlignment="1" applyProtection="1">
      <alignment horizontal="left"/>
      <protection hidden="1"/>
    </xf>
    <xf numFmtId="0" fontId="0" fillId="2" borderId="11" xfId="0" applyFill="1" applyBorder="1" applyAlignment="1" applyProtection="1">
      <alignment horizontal="left"/>
      <protection hidden="1"/>
    </xf>
    <xf numFmtId="0" fontId="0" fillId="2" borderId="0" xfId="0" applyFill="1" applyBorder="1" applyAlignment="1" applyProtection="1">
      <alignment horizontal="left"/>
      <protection hidden="1"/>
    </xf>
    <xf numFmtId="0" fontId="12" fillId="2" borderId="13" xfId="0" applyFont="1" applyFill="1" applyBorder="1" applyAlignment="1" applyProtection="1">
      <alignment horizontal="left" vertical="center" wrapText="1"/>
      <protection hidden="1"/>
    </xf>
    <xf numFmtId="0" fontId="0" fillId="2" borderId="71" xfId="0" applyFill="1" applyBorder="1" applyAlignment="1" applyProtection="1">
      <alignment horizontal="center"/>
      <protection hidden="1"/>
    </xf>
    <xf numFmtId="0" fontId="12" fillId="2" borderId="64" xfId="0" applyFont="1" applyFill="1" applyBorder="1" applyAlignment="1" applyProtection="1">
      <alignment horizontal="left"/>
      <protection hidden="1"/>
    </xf>
    <xf numFmtId="0" fontId="0" fillId="2" borderId="70" xfId="0" applyFill="1" applyBorder="1" applyAlignment="1" applyProtection="1">
      <alignment horizontal="center"/>
      <protection hidden="1"/>
    </xf>
    <xf numFmtId="0" fontId="12" fillId="2" borderId="13" xfId="0" applyFont="1" applyFill="1" applyBorder="1" applyAlignment="1" applyProtection="1">
      <alignment horizontal="left"/>
      <protection hidden="1"/>
    </xf>
    <xf numFmtId="0" fontId="0" fillId="2" borderId="13" xfId="0" applyFill="1" applyBorder="1" applyAlignment="1" applyProtection="1">
      <alignment horizontal="left" vertical="top" wrapText="1"/>
      <protection hidden="1"/>
    </xf>
    <xf numFmtId="0" fontId="0" fillId="2" borderId="49" xfId="0" applyFill="1" applyBorder="1" applyProtection="1">
      <protection hidden="1"/>
    </xf>
    <xf numFmtId="0" fontId="0" fillId="2" borderId="30" xfId="0" applyFill="1" applyBorder="1" applyAlignment="1" applyProtection="1">
      <alignment horizontal="center"/>
      <protection hidden="1"/>
    </xf>
    <xf numFmtId="0" fontId="34" fillId="2" borderId="8" xfId="0" applyFont="1" applyFill="1" applyBorder="1" applyProtection="1">
      <protection hidden="1"/>
    </xf>
    <xf numFmtId="0" fontId="0" fillId="2" borderId="8" xfId="0" applyFill="1" applyBorder="1" applyProtection="1">
      <protection hidden="1"/>
    </xf>
    <xf numFmtId="0" fontId="0" fillId="2" borderId="49" xfId="0" applyFill="1" applyBorder="1" applyAlignment="1" applyProtection="1">
      <alignment horizontal="center"/>
      <protection hidden="1"/>
    </xf>
    <xf numFmtId="0" fontId="0" fillId="2" borderId="33" xfId="0" applyFill="1" applyBorder="1" applyProtection="1">
      <protection hidden="1"/>
    </xf>
    <xf numFmtId="0" fontId="0" fillId="2" borderId="34" xfId="0" applyFill="1" applyBorder="1" applyProtection="1">
      <protection hidden="1"/>
    </xf>
    <xf numFmtId="0" fontId="0" fillId="2" borderId="36" xfId="0" applyFill="1" applyBorder="1" applyProtection="1">
      <protection hidden="1"/>
    </xf>
    <xf numFmtId="0" fontId="0" fillId="2" borderId="37" xfId="0" applyFill="1" applyBorder="1" applyProtection="1">
      <protection hidden="1"/>
    </xf>
    <xf numFmtId="0" fontId="0" fillId="2" borderId="39" xfId="0" applyFill="1" applyBorder="1" applyProtection="1">
      <protection hidden="1"/>
    </xf>
    <xf numFmtId="0" fontId="0" fillId="2" borderId="40" xfId="0" applyFill="1" applyBorder="1" applyProtection="1">
      <protection hidden="1"/>
    </xf>
    <xf numFmtId="0" fontId="0" fillId="2" borderId="42" xfId="0" applyFill="1" applyBorder="1" applyProtection="1">
      <protection hidden="1"/>
    </xf>
    <xf numFmtId="0" fontId="0" fillId="2" borderId="20" xfId="0" applyFill="1" applyBorder="1" applyProtection="1">
      <protection hidden="1"/>
    </xf>
    <xf numFmtId="0" fontId="5" fillId="2" borderId="16" xfId="0" applyFont="1" applyFill="1" applyBorder="1" applyAlignment="1" applyProtection="1">
      <alignment horizontal="center" vertical="center"/>
      <protection hidden="1"/>
    </xf>
    <xf numFmtId="0" fontId="0" fillId="10" borderId="8" xfId="0" applyFill="1" applyBorder="1" applyProtection="1">
      <protection hidden="1"/>
    </xf>
    <xf numFmtId="0" fontId="0" fillId="11" borderId="8" xfId="0" applyFill="1" applyBorder="1" applyAlignment="1" applyProtection="1">
      <alignment horizontal="center"/>
      <protection hidden="1"/>
    </xf>
    <xf numFmtId="0" fontId="0" fillId="7" borderId="8" xfId="0" applyFill="1" applyBorder="1" applyAlignment="1" applyProtection="1">
      <alignment horizontal="center"/>
      <protection hidden="1"/>
    </xf>
    <xf numFmtId="0" fontId="0" fillId="10" borderId="8" xfId="0" applyFill="1" applyBorder="1" applyAlignment="1" applyProtection="1">
      <alignment horizontal="center"/>
      <protection hidden="1"/>
    </xf>
    <xf numFmtId="0" fontId="0" fillId="2" borderId="7" xfId="0" applyFill="1" applyBorder="1" applyProtection="1">
      <protection hidden="1"/>
    </xf>
    <xf numFmtId="0" fontId="0" fillId="2" borderId="17" xfId="0" applyFill="1" applyBorder="1" applyAlignment="1" applyProtection="1">
      <alignment horizontal="center"/>
      <protection hidden="1"/>
    </xf>
    <xf numFmtId="0" fontId="0" fillId="2" borderId="8" xfId="0" applyFill="1" applyBorder="1" applyAlignment="1" applyProtection="1">
      <alignment horizontal="center"/>
      <protection hidden="1"/>
    </xf>
    <xf numFmtId="0" fontId="0" fillId="7" borderId="8" xfId="0" applyFill="1" applyBorder="1" applyAlignment="1" applyProtection="1">
      <alignment horizontal="center" vertical="center"/>
      <protection hidden="1"/>
    </xf>
    <xf numFmtId="0" fontId="2" fillId="2" borderId="5" xfId="0" applyFont="1" applyFill="1" applyBorder="1" applyAlignment="1"/>
    <xf numFmtId="0" fontId="0" fillId="3" borderId="0" xfId="0" applyFill="1"/>
    <xf numFmtId="0" fontId="3" fillId="2" borderId="95" xfId="0" applyFont="1" applyFill="1" applyBorder="1" applyAlignment="1">
      <alignment horizontal="center"/>
    </xf>
    <xf numFmtId="0" fontId="3" fillId="2" borderId="96" xfId="0" quotePrefix="1" applyFont="1" applyFill="1" applyBorder="1" applyAlignment="1">
      <alignment horizontal="left"/>
    </xf>
    <xf numFmtId="0" fontId="0" fillId="2" borderId="0" xfId="0" applyFill="1" applyBorder="1"/>
    <xf numFmtId="0" fontId="45" fillId="2" borderId="0" xfId="0" applyFont="1" applyFill="1" applyBorder="1"/>
    <xf numFmtId="0" fontId="0" fillId="3" borderId="0" xfId="0" applyFill="1" applyBorder="1" applyAlignment="1">
      <alignment horizontal="center"/>
    </xf>
    <xf numFmtId="0" fontId="2" fillId="2" borderId="0" xfId="0" applyFont="1" applyFill="1" applyBorder="1" applyAlignment="1">
      <alignment wrapText="1"/>
    </xf>
    <xf numFmtId="0" fontId="2" fillId="2" borderId="0" xfId="0" applyFont="1" applyFill="1" applyBorder="1" applyAlignment="1"/>
    <xf numFmtId="0" fontId="0" fillId="3" borderId="0" xfId="0" applyFill="1" applyBorder="1"/>
    <xf numFmtId="0" fontId="6" fillId="2" borderId="0" xfId="0" applyFont="1" applyFill="1" applyBorder="1"/>
    <xf numFmtId="0" fontId="7" fillId="2" borderId="0" xfId="0" applyFont="1" applyFill="1" applyBorder="1" applyAlignment="1">
      <alignment horizontal="left" vertical="center" wrapText="1"/>
    </xf>
    <xf numFmtId="0" fontId="8" fillId="2" borderId="0" xfId="0" applyFont="1" applyFill="1" applyBorder="1" applyAlignment="1">
      <alignment horizontal="center" vertical="center" wrapText="1"/>
    </xf>
    <xf numFmtId="0" fontId="3" fillId="2" borderId="0" xfId="0" applyFont="1" applyFill="1" applyBorder="1"/>
    <xf numFmtId="0" fontId="10" fillId="2" borderId="0" xfId="0" applyFont="1" applyFill="1" applyBorder="1" applyAlignment="1">
      <alignment horizontal="left" vertical="top" wrapText="1"/>
    </xf>
    <xf numFmtId="0" fontId="7" fillId="2" borderId="0" xfId="0" applyFont="1" applyFill="1" applyBorder="1" applyAlignment="1">
      <alignment wrapText="1"/>
    </xf>
    <xf numFmtId="0" fontId="10" fillId="2" borderId="0" xfId="0" applyFont="1" applyFill="1" applyBorder="1" applyAlignment="1">
      <alignment horizontal="left" vertical="top"/>
    </xf>
    <xf numFmtId="0" fontId="7" fillId="2" borderId="0" xfId="0" applyFont="1" applyFill="1" applyBorder="1" applyAlignment="1">
      <alignment horizontal="left" vertical="top"/>
    </xf>
    <xf numFmtId="0" fontId="1" fillId="2" borderId="0" xfId="0" applyFont="1" applyFill="1" applyBorder="1" applyAlignment="1">
      <alignment vertical="center" wrapText="1"/>
    </xf>
    <xf numFmtId="0" fontId="0" fillId="3" borderId="5" xfId="0" applyFill="1" applyBorder="1"/>
    <xf numFmtId="0" fontId="10" fillId="2" borderId="0" xfId="0" applyFont="1" applyFill="1" applyBorder="1" applyAlignment="1">
      <alignment vertical="top" wrapText="1"/>
    </xf>
    <xf numFmtId="0" fontId="10" fillId="2" borderId="0" xfId="0" applyFont="1" applyFill="1" applyBorder="1" applyAlignment="1"/>
    <xf numFmtId="0" fontId="3" fillId="2" borderId="0" xfId="0" applyFont="1" applyFill="1" applyBorder="1" applyAlignment="1">
      <alignment horizontal="center"/>
    </xf>
    <xf numFmtId="0" fontId="10" fillId="2" borderId="0" xfId="0" applyFont="1" applyFill="1" applyBorder="1" applyAlignment="1">
      <alignment horizontal="left" vertical="center" wrapText="1"/>
    </xf>
    <xf numFmtId="0" fontId="8" fillId="2" borderId="0" xfId="0" applyFont="1" applyFill="1" applyBorder="1" applyAlignment="1">
      <alignment horizontal="center" vertical="top" wrapText="1"/>
    </xf>
    <xf numFmtId="0" fontId="3" fillId="2" borderId="4" xfId="0" applyFont="1" applyFill="1" applyBorder="1" applyAlignment="1">
      <alignment vertical="center"/>
    </xf>
    <xf numFmtId="0" fontId="0" fillId="3" borderId="4" xfId="0" applyFill="1" applyBorder="1"/>
    <xf numFmtId="0" fontId="4" fillId="3" borderId="0" xfId="0" applyFont="1" applyFill="1" applyBorder="1" applyAlignment="1">
      <alignment horizontal="center"/>
    </xf>
    <xf numFmtId="0" fontId="3" fillId="3" borderId="13" xfId="0" applyFont="1" applyFill="1" applyBorder="1" applyAlignment="1">
      <alignment horizontal="center" vertical="center" wrapText="1"/>
    </xf>
    <xf numFmtId="0" fontId="13" fillId="2" borderId="0" xfId="0" applyFont="1" applyFill="1" applyBorder="1"/>
    <xf numFmtId="0" fontId="0" fillId="2" borderId="0" xfId="0" applyFill="1" applyBorder="1" applyAlignment="1">
      <alignment horizontal="center" vertical="center"/>
    </xf>
    <xf numFmtId="0" fontId="0" fillId="3" borderId="0" xfId="0" applyFill="1" applyBorder="1" applyAlignment="1">
      <alignment horizontal="center" vertical="center"/>
    </xf>
    <xf numFmtId="0" fontId="0" fillId="2" borderId="2" xfId="0" applyFill="1" applyBorder="1" applyAlignment="1">
      <alignment wrapText="1"/>
    </xf>
    <xf numFmtId="0" fontId="0" fillId="2" borderId="99" xfId="0" applyFill="1" applyBorder="1"/>
    <xf numFmtId="0" fontId="0" fillId="2" borderId="100" xfId="0" applyFill="1" applyBorder="1"/>
    <xf numFmtId="0" fontId="3" fillId="2" borderId="100" xfId="0" applyFont="1" applyFill="1" applyBorder="1"/>
    <xf numFmtId="1" fontId="3" fillId="2" borderId="100" xfId="0" applyNumberFormat="1" applyFont="1" applyFill="1" applyBorder="1"/>
    <xf numFmtId="0" fontId="0" fillId="2" borderId="101" xfId="0" applyFill="1" applyBorder="1" applyAlignment="1">
      <alignment wrapText="1"/>
    </xf>
    <xf numFmtId="0" fontId="0" fillId="2" borderId="102" xfId="0" applyFill="1" applyBorder="1"/>
    <xf numFmtId="0" fontId="3" fillId="2" borderId="15" xfId="0" applyFont="1" applyFill="1" applyBorder="1"/>
    <xf numFmtId="1" fontId="3" fillId="2" borderId="60" xfId="0" applyNumberFormat="1" applyFont="1" applyFill="1" applyBorder="1"/>
    <xf numFmtId="0" fontId="0" fillId="2" borderId="103" xfId="0" applyFill="1" applyBorder="1" applyAlignment="1">
      <alignment wrapText="1"/>
    </xf>
    <xf numFmtId="0" fontId="28" fillId="2" borderId="4" xfId="3" applyFont="1" applyFill="1" applyBorder="1" applyProtection="1">
      <protection hidden="1"/>
    </xf>
    <xf numFmtId="0" fontId="28" fillId="2" borderId="0" xfId="3" applyFont="1" applyFill="1" applyBorder="1" applyProtection="1">
      <protection hidden="1"/>
    </xf>
    <xf numFmtId="0" fontId="3" fillId="2" borderId="104" xfId="3" applyFont="1" applyFill="1" applyBorder="1" applyAlignment="1" applyProtection="1">
      <alignment vertical="top" wrapText="1"/>
      <protection hidden="1"/>
    </xf>
    <xf numFmtId="0" fontId="3" fillId="2" borderId="95" xfId="3" applyFont="1" applyFill="1" applyBorder="1" applyAlignment="1" applyProtection="1">
      <alignment vertical="top" wrapText="1"/>
      <protection hidden="1"/>
    </xf>
    <xf numFmtId="0" fontId="28" fillId="2" borderId="106" xfId="3" applyFont="1" applyFill="1" applyBorder="1" applyProtection="1">
      <protection hidden="1"/>
    </xf>
    <xf numFmtId="0" fontId="3" fillId="2" borderId="108" xfId="3" applyFont="1" applyFill="1" applyBorder="1" applyAlignment="1" applyProtection="1">
      <alignment vertical="top" wrapText="1"/>
      <protection hidden="1"/>
    </xf>
    <xf numFmtId="0" fontId="3" fillId="2" borderId="110" xfId="3" applyFont="1" applyFill="1" applyBorder="1" applyAlignment="1" applyProtection="1">
      <alignment vertical="top" wrapText="1"/>
      <protection hidden="1"/>
    </xf>
    <xf numFmtId="0" fontId="3" fillId="2" borderId="112" xfId="3" applyFont="1" applyFill="1" applyBorder="1" applyAlignment="1" applyProtection="1">
      <alignment vertical="top"/>
      <protection hidden="1"/>
    </xf>
    <xf numFmtId="0" fontId="3" fillId="2" borderId="106" xfId="3" applyFont="1" applyFill="1" applyBorder="1" applyAlignment="1" applyProtection="1">
      <alignment vertical="top"/>
      <protection hidden="1"/>
    </xf>
    <xf numFmtId="0" fontId="13" fillId="2" borderId="113" xfId="3" applyFont="1" applyFill="1" applyBorder="1" applyAlignment="1" applyProtection="1">
      <alignment vertical="top" wrapText="1"/>
      <protection hidden="1"/>
    </xf>
    <xf numFmtId="0" fontId="13" fillId="2" borderId="4" xfId="3" applyFont="1" applyFill="1" applyBorder="1" applyAlignment="1" applyProtection="1">
      <alignment vertical="top" wrapText="1"/>
      <protection hidden="1"/>
    </xf>
    <xf numFmtId="0" fontId="13" fillId="2" borderId="102" xfId="3" applyFont="1" applyFill="1" applyBorder="1" applyAlignment="1" applyProtection="1">
      <alignment vertical="top" wrapText="1"/>
      <protection hidden="1"/>
    </xf>
    <xf numFmtId="0" fontId="3" fillId="2" borderId="115" xfId="3" applyFont="1" applyFill="1" applyBorder="1" applyAlignment="1" applyProtection="1">
      <alignment vertical="top" wrapText="1"/>
      <protection hidden="1"/>
    </xf>
    <xf numFmtId="0" fontId="3" fillId="2" borderId="116" xfId="3" applyFont="1" applyFill="1" applyBorder="1" applyAlignment="1" applyProtection="1">
      <alignment vertical="top" wrapText="1"/>
      <protection hidden="1"/>
    </xf>
    <xf numFmtId="0" fontId="3" fillId="2" borderId="117" xfId="3" applyFont="1" applyFill="1" applyBorder="1" applyAlignment="1" applyProtection="1">
      <alignment vertical="top" wrapText="1"/>
      <protection hidden="1"/>
    </xf>
    <xf numFmtId="0" fontId="3" fillId="2" borderId="118" xfId="3" applyFont="1" applyFill="1" applyBorder="1" applyAlignment="1" applyProtection="1">
      <alignment horizontal="left" vertical="top" wrapText="1" indent="2"/>
      <protection hidden="1"/>
    </xf>
    <xf numFmtId="0" fontId="3" fillId="2" borderId="119" xfId="3" applyFont="1" applyFill="1" applyBorder="1" applyAlignment="1" applyProtection="1">
      <alignment horizontal="left" vertical="top" wrapText="1" indent="2"/>
      <protection hidden="1"/>
    </xf>
    <xf numFmtId="0" fontId="3" fillId="2" borderId="117" xfId="3" applyFont="1" applyFill="1" applyBorder="1" applyAlignment="1" applyProtection="1">
      <alignment horizontal="left" vertical="top" wrapText="1" indent="2"/>
      <protection hidden="1"/>
    </xf>
    <xf numFmtId="0" fontId="3" fillId="2" borderId="110" xfId="3" applyFont="1" applyFill="1" applyBorder="1" applyAlignment="1" applyProtection="1">
      <alignment horizontal="left" vertical="top" wrapText="1" indent="2"/>
      <protection hidden="1"/>
    </xf>
    <xf numFmtId="0" fontId="3" fillId="2" borderId="112" xfId="3" applyFont="1" applyFill="1" applyBorder="1" applyAlignment="1" applyProtection="1">
      <alignment vertical="top" wrapText="1"/>
      <protection hidden="1"/>
    </xf>
    <xf numFmtId="0" fontId="3" fillId="2" borderId="106" xfId="3" applyFont="1" applyFill="1" applyBorder="1" applyAlignment="1" applyProtection="1">
      <alignment vertical="top" wrapText="1"/>
      <protection hidden="1"/>
    </xf>
    <xf numFmtId="0" fontId="13" fillId="2" borderId="120" xfId="3" applyFont="1" applyFill="1" applyBorder="1" applyAlignment="1" applyProtection="1">
      <alignment vertical="top" wrapText="1"/>
      <protection hidden="1"/>
    </xf>
    <xf numFmtId="0" fontId="13" fillId="2" borderId="24" xfId="3" applyFont="1" applyFill="1" applyBorder="1" applyAlignment="1" applyProtection="1">
      <alignment vertical="top" wrapText="1"/>
      <protection hidden="1"/>
    </xf>
    <xf numFmtId="0" fontId="13" fillId="2" borderId="121" xfId="3" applyFont="1" applyFill="1" applyBorder="1" applyAlignment="1" applyProtection="1">
      <alignment vertical="top" wrapText="1"/>
      <protection hidden="1"/>
    </xf>
    <xf numFmtId="0" fontId="3" fillId="2" borderId="110" xfId="3" applyFont="1" applyFill="1" applyBorder="1" applyAlignment="1" applyProtection="1">
      <alignment horizontal="right" vertical="top" wrapText="1"/>
      <protection hidden="1"/>
    </xf>
    <xf numFmtId="0" fontId="13" fillId="2" borderId="106" xfId="3" applyFont="1" applyFill="1" applyBorder="1" applyAlignment="1" applyProtection="1">
      <alignment vertical="top" wrapText="1"/>
      <protection hidden="1"/>
    </xf>
    <xf numFmtId="0" fontId="3" fillId="2" borderId="108" xfId="3" applyFont="1" applyFill="1" applyBorder="1" applyAlignment="1" applyProtection="1">
      <alignment horizontal="center" vertical="top" wrapText="1"/>
      <protection hidden="1"/>
    </xf>
    <xf numFmtId="0" fontId="3" fillId="2" borderId="122" xfId="3" applyFont="1" applyFill="1" applyBorder="1" applyAlignment="1" applyProtection="1">
      <alignment horizontal="center" vertical="top" wrapText="1"/>
      <protection hidden="1"/>
    </xf>
    <xf numFmtId="0" fontId="3" fillId="2" borderId="118" xfId="3" applyFont="1" applyFill="1" applyBorder="1" applyAlignment="1" applyProtection="1">
      <alignment vertical="top" wrapText="1"/>
      <protection hidden="1"/>
    </xf>
    <xf numFmtId="0" fontId="3" fillId="2" borderId="123" xfId="3" applyFont="1" applyFill="1" applyBorder="1" applyAlignment="1" applyProtection="1">
      <alignment vertical="top" wrapText="1"/>
      <protection hidden="1"/>
    </xf>
    <xf numFmtId="0" fontId="3" fillId="2" borderId="124" xfId="3" applyFont="1" applyFill="1" applyBorder="1" applyAlignment="1" applyProtection="1">
      <alignment vertical="top" wrapText="1"/>
      <protection hidden="1"/>
    </xf>
    <xf numFmtId="0" fontId="3" fillId="2" borderId="125" xfId="3" applyFont="1" applyFill="1" applyBorder="1" applyAlignment="1" applyProtection="1">
      <alignment vertical="top" wrapText="1"/>
      <protection hidden="1"/>
    </xf>
    <xf numFmtId="0" fontId="3" fillId="2" borderId="126" xfId="3" applyFont="1" applyFill="1" applyBorder="1" applyAlignment="1" applyProtection="1">
      <alignment horizontal="center" vertical="top" wrapText="1"/>
      <protection hidden="1"/>
    </xf>
    <xf numFmtId="0" fontId="3" fillId="2" borderId="127" xfId="3" applyFont="1" applyFill="1" applyBorder="1" applyAlignment="1" applyProtection="1">
      <alignment vertical="top" wrapText="1"/>
      <protection hidden="1"/>
    </xf>
    <xf numFmtId="0" fontId="3" fillId="2" borderId="113" xfId="3" applyFont="1" applyFill="1" applyBorder="1" applyAlignment="1" applyProtection="1">
      <alignment vertical="top" wrapText="1"/>
      <protection hidden="1"/>
    </xf>
    <xf numFmtId="9" fontId="12" fillId="2" borderId="0" xfId="2" applyFont="1" applyFill="1" applyBorder="1" applyAlignment="1" applyProtection="1">
      <alignment vertical="top" wrapText="1"/>
      <protection hidden="1"/>
    </xf>
    <xf numFmtId="0" fontId="12" fillId="2" borderId="0" xfId="3" applyFont="1" applyFill="1" applyBorder="1" applyAlignment="1" applyProtection="1">
      <alignment vertical="top" wrapText="1"/>
      <protection hidden="1"/>
    </xf>
    <xf numFmtId="0" fontId="3" fillId="2" borderId="128" xfId="3" applyFont="1" applyFill="1" applyBorder="1" applyAlignment="1" applyProtection="1">
      <alignment horizontal="left" vertical="top" wrapText="1"/>
      <protection hidden="1"/>
    </xf>
    <xf numFmtId="0" fontId="3" fillId="2" borderId="106" xfId="3" applyFont="1" applyFill="1" applyBorder="1" applyAlignment="1" applyProtection="1">
      <alignment horizontal="right" vertical="top" wrapText="1"/>
      <protection hidden="1"/>
    </xf>
    <xf numFmtId="0" fontId="3" fillId="2" borderId="102" xfId="3" applyFont="1" applyFill="1" applyBorder="1" applyAlignment="1" applyProtection="1">
      <alignment vertical="top"/>
      <protection hidden="1"/>
    </xf>
    <xf numFmtId="0" fontId="3" fillId="2" borderId="121" xfId="3" applyFont="1" applyFill="1" applyBorder="1" applyAlignment="1" applyProtection="1">
      <alignment vertical="top"/>
      <protection hidden="1"/>
    </xf>
    <xf numFmtId="0" fontId="3" fillId="2" borderId="0" xfId="3" applyFont="1" applyFill="1" applyBorder="1" applyAlignment="1" applyProtection="1">
      <alignment vertical="top"/>
      <protection hidden="1"/>
    </xf>
    <xf numFmtId="0" fontId="12" fillId="2" borderId="127" xfId="3" applyFont="1" applyFill="1" applyBorder="1" applyAlignment="1" applyProtection="1">
      <alignment vertical="top"/>
      <protection hidden="1"/>
    </xf>
    <xf numFmtId="0" fontId="3" fillId="2" borderId="130" xfId="3" applyFont="1" applyFill="1" applyBorder="1" applyAlignment="1" applyProtection="1">
      <alignment horizontal="right" vertical="top" wrapText="1"/>
      <protection hidden="1"/>
    </xf>
    <xf numFmtId="0" fontId="3" fillId="2" borderId="4" xfId="3" applyFont="1" applyFill="1" applyBorder="1" applyAlignment="1" applyProtection="1">
      <alignment horizontal="right" vertical="top" wrapText="1"/>
      <protection hidden="1"/>
    </xf>
    <xf numFmtId="0" fontId="3" fillId="2" borderId="131" xfId="3" applyFont="1" applyFill="1" applyBorder="1" applyAlignment="1" applyProtection="1">
      <alignment vertical="top"/>
      <protection hidden="1"/>
    </xf>
    <xf numFmtId="0" fontId="33" fillId="2" borderId="4" xfId="3" applyFont="1" applyFill="1" applyBorder="1" applyProtection="1">
      <protection hidden="1"/>
    </xf>
    <xf numFmtId="0" fontId="12" fillId="2" borderId="0" xfId="3" applyFont="1" applyFill="1" applyBorder="1" applyAlignment="1" applyProtection="1">
      <alignment vertical="top"/>
      <protection hidden="1"/>
    </xf>
    <xf numFmtId="0" fontId="12" fillId="2" borderId="0" xfId="3" applyFont="1" applyFill="1" applyBorder="1" applyAlignment="1" applyProtection="1">
      <alignment horizontal="center" vertical="top"/>
      <protection hidden="1"/>
    </xf>
    <xf numFmtId="2" fontId="12" fillId="2" borderId="0" xfId="3" applyNumberFormat="1" applyFont="1" applyFill="1" applyBorder="1" applyAlignment="1" applyProtection="1">
      <alignment vertical="top"/>
      <protection hidden="1"/>
    </xf>
    <xf numFmtId="0" fontId="13" fillId="2" borderId="0" xfId="3" applyFont="1" applyFill="1" applyBorder="1" applyAlignment="1" applyProtection="1">
      <alignment horizontal="right" vertical="top"/>
      <protection hidden="1"/>
    </xf>
    <xf numFmtId="0" fontId="33" fillId="2" borderId="113" xfId="3" applyFont="1" applyFill="1" applyBorder="1" applyProtection="1">
      <protection hidden="1"/>
    </xf>
    <xf numFmtId="0" fontId="33" fillId="2" borderId="102" xfId="3" applyFont="1" applyFill="1" applyBorder="1" applyProtection="1">
      <protection hidden="1"/>
    </xf>
    <xf numFmtId="2" fontId="3" fillId="2" borderId="0" xfId="3" applyNumberFormat="1" applyFont="1" applyFill="1" applyBorder="1" applyAlignment="1" applyProtection="1">
      <alignment horizontal="center" vertical="top"/>
      <protection hidden="1"/>
    </xf>
    <xf numFmtId="2" fontId="3" fillId="2" borderId="0" xfId="3" applyNumberFormat="1" applyFont="1" applyFill="1" applyBorder="1" applyAlignment="1" applyProtection="1">
      <alignment vertical="top"/>
      <protection hidden="1"/>
    </xf>
    <xf numFmtId="0" fontId="28" fillId="2" borderId="18" xfId="3" applyFont="1" applyFill="1" applyBorder="1" applyProtection="1">
      <protection hidden="1"/>
    </xf>
    <xf numFmtId="0" fontId="0" fillId="2" borderId="3" xfId="0" applyFill="1" applyBorder="1" applyProtection="1">
      <protection hidden="1"/>
    </xf>
    <xf numFmtId="0" fontId="0" fillId="2" borderId="0" xfId="0" applyFill="1" applyBorder="1" applyProtection="1">
      <protection hidden="1"/>
    </xf>
    <xf numFmtId="0" fontId="35" fillId="2" borderId="0" xfId="0" applyFont="1" applyFill="1" applyBorder="1" applyProtection="1">
      <protection hidden="1"/>
    </xf>
    <xf numFmtId="0" fontId="36" fillId="2" borderId="0" xfId="0" applyFont="1" applyFill="1" applyBorder="1"/>
    <xf numFmtId="0" fontId="37" fillId="2" borderId="0" xfId="0" applyFont="1" applyFill="1" applyBorder="1" applyProtection="1">
      <protection hidden="1"/>
    </xf>
    <xf numFmtId="0" fontId="6" fillId="2" borderId="0" xfId="0" applyFont="1" applyFill="1" applyBorder="1" applyAlignment="1" applyProtection="1">
      <alignment horizontal="left"/>
      <protection hidden="1"/>
    </xf>
    <xf numFmtId="0" fontId="6" fillId="2" borderId="0" xfId="0" applyFont="1" applyFill="1" applyBorder="1" applyAlignment="1" applyProtection="1">
      <alignment horizontal="center"/>
      <protection hidden="1"/>
    </xf>
    <xf numFmtId="0" fontId="38" fillId="2" borderId="0" xfId="0" applyFont="1" applyFill="1" applyBorder="1" applyProtection="1">
      <protection hidden="1"/>
    </xf>
    <xf numFmtId="0" fontId="11" fillId="2" borderId="0" xfId="0" applyFont="1" applyFill="1" applyBorder="1" applyAlignment="1" applyProtection="1">
      <alignment vertical="top"/>
      <protection hidden="1"/>
    </xf>
    <xf numFmtId="0" fontId="0" fillId="4" borderId="38" xfId="0" applyFill="1" applyBorder="1" applyAlignment="1" applyProtection="1">
      <alignment horizontal="center"/>
      <protection locked="0" hidden="1"/>
    </xf>
    <xf numFmtId="0" fontId="0" fillId="4" borderId="67" xfId="0" applyFill="1" applyBorder="1" applyAlignment="1" applyProtection="1">
      <alignment horizontal="center"/>
      <protection locked="0" hidden="1"/>
    </xf>
    <xf numFmtId="0" fontId="0" fillId="4" borderId="30" xfId="0" applyFill="1" applyBorder="1" applyAlignment="1" applyProtection="1">
      <alignment horizontal="center"/>
      <protection locked="0" hidden="1"/>
    </xf>
    <xf numFmtId="0" fontId="3" fillId="2" borderId="0" xfId="0" applyFont="1" applyFill="1" applyBorder="1" applyAlignment="1">
      <alignment horizontal="center" vertical="center" wrapText="1"/>
    </xf>
    <xf numFmtId="0" fontId="0" fillId="4" borderId="44" xfId="0" applyFill="1" applyBorder="1" applyAlignment="1" applyProtection="1">
      <alignment horizontal="center"/>
      <protection locked="0" hidden="1"/>
    </xf>
    <xf numFmtId="0" fontId="0" fillId="3" borderId="2" xfId="0" applyFill="1" applyBorder="1"/>
    <xf numFmtId="0" fontId="3" fillId="3" borderId="95" xfId="0" applyFont="1" applyFill="1" applyBorder="1" applyAlignment="1">
      <alignment horizontal="center"/>
    </xf>
    <xf numFmtId="0" fontId="3" fillId="3" borderId="96" xfId="0" quotePrefix="1" applyFont="1" applyFill="1" applyBorder="1" applyAlignment="1">
      <alignment horizontal="left"/>
    </xf>
    <xf numFmtId="0" fontId="36" fillId="3" borderId="0"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7" borderId="8"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15" borderId="8" xfId="0" applyFont="1" applyFill="1" applyBorder="1" applyAlignment="1">
      <alignment horizontal="center" vertical="center" wrapText="1"/>
    </xf>
    <xf numFmtId="0" fontId="11" fillId="14" borderId="8" xfId="0" applyFont="1" applyFill="1" applyBorder="1" applyAlignment="1">
      <alignment horizontal="center" vertical="center" wrapText="1"/>
    </xf>
    <xf numFmtId="0" fontId="7" fillId="4" borderId="8" xfId="0" applyFont="1" applyFill="1" applyBorder="1" applyAlignment="1" applyProtection="1">
      <alignment horizontal="left" vertical="center" wrapText="1"/>
      <protection locked="0"/>
    </xf>
    <xf numFmtId="0" fontId="25" fillId="5" borderId="8" xfId="1" applyFill="1" applyBorder="1" applyAlignment="1" applyProtection="1">
      <alignment horizontal="left" vertical="center" wrapText="1"/>
    </xf>
    <xf numFmtId="0" fontId="4" fillId="2" borderId="0" xfId="0" applyFont="1" applyFill="1" applyBorder="1" applyAlignment="1"/>
    <xf numFmtId="0" fontId="3" fillId="2" borderId="0" xfId="0" applyFont="1" applyFill="1" applyBorder="1" applyAlignment="1">
      <alignment horizontal="left"/>
    </xf>
    <xf numFmtId="0" fontId="0" fillId="7" borderId="60" xfId="0" applyFill="1" applyBorder="1" applyAlignment="1" applyProtection="1">
      <alignment horizontal="center" vertical="center"/>
      <protection hidden="1"/>
    </xf>
    <xf numFmtId="0" fontId="0" fillId="2" borderId="10" xfId="0" applyFill="1" applyBorder="1" applyAlignment="1" applyProtection="1">
      <alignment horizontal="left" wrapText="1"/>
      <protection hidden="1"/>
    </xf>
    <xf numFmtId="0" fontId="3" fillId="2" borderId="118" xfId="3" applyFont="1" applyFill="1" applyBorder="1" applyAlignment="1" applyProtection="1">
      <alignment horizontal="center" vertical="top" wrapText="1"/>
      <protection hidden="1"/>
    </xf>
    <xf numFmtId="0" fontId="3" fillId="2" borderId="119" xfId="3" applyFont="1" applyFill="1" applyBorder="1" applyAlignment="1" applyProtection="1">
      <alignment horizontal="center" vertical="top" wrapText="1"/>
      <protection hidden="1"/>
    </xf>
    <xf numFmtId="0" fontId="3" fillId="2" borderId="117" xfId="3" applyFont="1" applyFill="1" applyBorder="1" applyAlignment="1" applyProtection="1">
      <alignment horizontal="center" vertical="top" wrapText="1"/>
      <protection hidden="1"/>
    </xf>
    <xf numFmtId="0" fontId="3" fillId="2" borderId="67" xfId="3" applyFont="1" applyFill="1" applyBorder="1" applyAlignment="1" applyProtection="1">
      <alignment horizontal="center" vertical="top"/>
      <protection hidden="1"/>
    </xf>
    <xf numFmtId="0" fontId="3" fillId="2" borderId="65" xfId="3" applyFont="1" applyFill="1" applyBorder="1" applyAlignment="1" applyProtection="1">
      <alignment horizontal="center" vertical="top"/>
      <protection hidden="1"/>
    </xf>
    <xf numFmtId="0" fontId="12" fillId="0" borderId="53" xfId="3" applyFont="1" applyBorder="1" applyAlignment="1" applyProtection="1">
      <alignment horizontal="left" vertical="top" wrapText="1"/>
      <protection locked="0"/>
    </xf>
    <xf numFmtId="0" fontId="12" fillId="0" borderId="47" xfId="3" applyFont="1" applyBorder="1" applyAlignment="1" applyProtection="1">
      <alignment horizontal="left" vertical="top" wrapText="1"/>
      <protection locked="0"/>
    </xf>
    <xf numFmtId="0" fontId="3" fillId="2" borderId="11" xfId="3" applyFont="1" applyFill="1" applyBorder="1" applyAlignment="1" applyProtection="1">
      <alignment horizontal="left" vertical="top"/>
      <protection hidden="1"/>
    </xf>
    <xf numFmtId="0" fontId="13" fillId="2" borderId="9" xfId="3" applyFont="1" applyFill="1" applyBorder="1" applyAlignment="1" applyProtection="1">
      <alignment horizontal="left" vertical="top" wrapText="1"/>
      <protection hidden="1"/>
    </xf>
    <xf numFmtId="0" fontId="31" fillId="2" borderId="61" xfId="3" applyFont="1" applyFill="1" applyBorder="1" applyAlignment="1" applyProtection="1">
      <alignment horizontal="left" vertical="top" wrapText="1"/>
      <protection hidden="1"/>
    </xf>
    <xf numFmtId="0" fontId="3" fillId="2" borderId="106" xfId="3" applyFont="1" applyFill="1" applyBorder="1" applyAlignment="1" applyProtection="1">
      <alignment horizontal="left" vertical="top" wrapText="1"/>
      <protection hidden="1"/>
    </xf>
    <xf numFmtId="0" fontId="3" fillId="2" borderId="9" xfId="3" applyFont="1" applyFill="1" applyBorder="1" applyAlignment="1" applyProtection="1">
      <alignment horizontal="left" vertical="top" wrapText="1"/>
      <protection hidden="1"/>
    </xf>
    <xf numFmtId="0" fontId="13" fillId="2" borderId="11" xfId="3" applyFont="1" applyFill="1" applyBorder="1" applyAlignment="1" applyProtection="1">
      <alignment horizontal="left" vertical="top" wrapText="1"/>
      <protection hidden="1"/>
    </xf>
    <xf numFmtId="0" fontId="13" fillId="2" borderId="0" xfId="3" applyFont="1" applyFill="1" applyBorder="1" applyAlignment="1" applyProtection="1">
      <alignment horizontal="left" vertical="top" wrapText="1" indent="2"/>
      <protection hidden="1"/>
    </xf>
    <xf numFmtId="0" fontId="13" fillId="2" borderId="16" xfId="3" applyFont="1" applyFill="1" applyBorder="1" applyAlignment="1" applyProtection="1">
      <alignment horizontal="left" vertical="top" wrapText="1" indent="2"/>
      <protection hidden="1"/>
    </xf>
    <xf numFmtId="0" fontId="3" fillId="4" borderId="80" xfId="3" applyFont="1" applyFill="1" applyBorder="1" applyAlignment="1" applyProtection="1">
      <alignment horizontal="center" vertical="top"/>
      <protection locked="0" hidden="1"/>
    </xf>
    <xf numFmtId="0" fontId="3" fillId="4" borderId="35" xfId="3" applyFont="1" applyFill="1" applyBorder="1" applyAlignment="1" applyProtection="1">
      <alignment horizontal="center" vertical="top"/>
      <protection locked="0" hidden="1"/>
    </xf>
    <xf numFmtId="0" fontId="0" fillId="4" borderId="8" xfId="0" applyFill="1" applyBorder="1" applyAlignment="1" applyProtection="1">
      <alignment horizontal="left"/>
      <protection locked="0"/>
    </xf>
    <xf numFmtId="0" fontId="57" fillId="7" borderId="8" xfId="0" applyFont="1" applyFill="1" applyBorder="1" applyAlignment="1">
      <alignment horizontal="center" vertical="center" wrapText="1"/>
    </xf>
    <xf numFmtId="0" fontId="3" fillId="2" borderId="127" xfId="0" applyFont="1" applyFill="1" applyBorder="1"/>
    <xf numFmtId="0" fontId="0" fillId="2" borderId="136" xfId="0" applyFill="1" applyBorder="1"/>
    <xf numFmtId="0" fontId="0" fillId="2" borderId="137" xfId="0" applyFill="1" applyBorder="1"/>
    <xf numFmtId="0" fontId="0" fillId="2" borderId="137" xfId="0" applyFill="1" applyBorder="1" applyAlignment="1">
      <alignment wrapText="1"/>
    </xf>
    <xf numFmtId="0" fontId="0" fillId="2" borderId="138" xfId="0" applyFill="1" applyBorder="1" applyAlignment="1">
      <alignment wrapText="1"/>
    </xf>
    <xf numFmtId="0" fontId="0" fillId="2" borderId="108" xfId="0" applyFill="1" applyBorder="1"/>
    <xf numFmtId="1" fontId="0" fillId="0" borderId="109" xfId="0" applyNumberFormat="1" applyBorder="1" applyProtection="1">
      <protection locked="0"/>
    </xf>
    <xf numFmtId="0" fontId="0" fillId="2" borderId="110" xfId="0" applyFill="1" applyBorder="1"/>
    <xf numFmtId="1" fontId="0" fillId="0" borderId="111" xfId="0" applyNumberFormat="1" applyBorder="1" applyProtection="1">
      <protection locked="0"/>
    </xf>
    <xf numFmtId="1" fontId="0" fillId="2" borderId="111" xfId="0" applyNumberFormat="1" applyFill="1" applyBorder="1"/>
    <xf numFmtId="0" fontId="0" fillId="2" borderId="110" xfId="0" applyFill="1" applyBorder="1" applyAlignment="1">
      <alignment wrapText="1"/>
    </xf>
    <xf numFmtId="1" fontId="12" fillId="0" borderId="111" xfId="0" applyNumberFormat="1" applyFont="1" applyBorder="1" applyProtection="1">
      <protection locked="0"/>
    </xf>
    <xf numFmtId="1" fontId="0" fillId="2" borderId="129" xfId="0" applyNumberFormat="1" applyFill="1" applyBorder="1"/>
    <xf numFmtId="0" fontId="0" fillId="0" borderId="110" xfId="0" applyBorder="1" applyProtection="1">
      <protection locked="0"/>
    </xf>
    <xf numFmtId="1" fontId="3" fillId="2" borderId="111" xfId="0" applyNumberFormat="1" applyFont="1" applyFill="1" applyBorder="1"/>
    <xf numFmtId="0" fontId="0" fillId="2" borderId="140" xfId="0" applyFill="1" applyBorder="1"/>
    <xf numFmtId="1" fontId="3" fillId="2" borderId="141" xfId="0" applyNumberFormat="1" applyFont="1" applyFill="1" applyBorder="1"/>
    <xf numFmtId="0" fontId="0" fillId="0" borderId="0" xfId="0" applyBorder="1" applyProtection="1">
      <protection hidden="1"/>
    </xf>
    <xf numFmtId="0" fontId="0" fillId="6" borderId="0" xfId="0" applyFill="1" applyBorder="1" applyAlignment="1" applyProtection="1">
      <alignment vertical="center"/>
      <protection hidden="1"/>
    </xf>
    <xf numFmtId="0" fontId="13" fillId="2" borderId="2" xfId="0" applyFont="1" applyFill="1" applyBorder="1" applyProtection="1">
      <protection hidden="1"/>
    </xf>
    <xf numFmtId="0" fontId="0" fillId="2" borderId="0" xfId="0" applyFill="1" applyBorder="1" applyAlignment="1" applyProtection="1">
      <alignment horizontal="center"/>
      <protection hidden="1"/>
    </xf>
    <xf numFmtId="0" fontId="3" fillId="2" borderId="77" xfId="3" applyFont="1" applyFill="1" applyBorder="1" applyAlignment="1" applyProtection="1">
      <alignment vertical="top" wrapText="1"/>
      <protection hidden="1"/>
    </xf>
    <xf numFmtId="0" fontId="3" fillId="2" borderId="2" xfId="3" applyFont="1" applyFill="1" applyBorder="1" applyAlignment="1" applyProtection="1">
      <alignment vertical="top" wrapText="1"/>
      <protection hidden="1"/>
    </xf>
    <xf numFmtId="0" fontId="12" fillId="9" borderId="79" xfId="3" quotePrefix="1" applyFont="1" applyFill="1" applyBorder="1" applyAlignment="1" applyProtection="1">
      <alignment vertical="top" wrapText="1"/>
      <protection locked="0"/>
    </xf>
    <xf numFmtId="0" fontId="12" fillId="0" borderId="53" xfId="3" applyFont="1" applyBorder="1" applyAlignment="1" applyProtection="1">
      <alignment vertical="top" wrapText="1"/>
      <protection locked="0"/>
    </xf>
    <xf numFmtId="164" fontId="3" fillId="2" borderId="57" xfId="3" applyNumberFormat="1" applyFont="1" applyFill="1" applyBorder="1" applyAlignment="1" applyProtection="1">
      <alignment vertical="top"/>
      <protection hidden="1"/>
    </xf>
    <xf numFmtId="0" fontId="30" fillId="2" borderId="0" xfId="3" applyFont="1" applyFill="1" applyBorder="1" applyAlignment="1" applyProtection="1">
      <alignment vertical="top" wrapText="1"/>
      <protection hidden="1"/>
    </xf>
    <xf numFmtId="0" fontId="12" fillId="2" borderId="53" xfId="3" applyFont="1" applyFill="1" applyBorder="1" applyAlignment="1" applyProtection="1">
      <alignment vertical="top" wrapText="1"/>
      <protection hidden="1"/>
    </xf>
    <xf numFmtId="0" fontId="12" fillId="2" borderId="57" xfId="3" applyFont="1" applyFill="1" applyBorder="1" applyAlignment="1" applyProtection="1">
      <alignment vertical="top" wrapText="1"/>
      <protection hidden="1"/>
    </xf>
    <xf numFmtId="0" fontId="13" fillId="2" borderId="0" xfId="3" applyFont="1" applyFill="1" applyBorder="1" applyAlignment="1" applyProtection="1">
      <alignment horizontal="left" vertical="top" wrapText="1"/>
      <protection hidden="1"/>
    </xf>
    <xf numFmtId="0" fontId="13" fillId="2" borderId="0" xfId="3" applyFont="1" applyFill="1" applyBorder="1" applyAlignment="1" applyProtection="1">
      <alignment horizontal="left" vertical="top" wrapText="1" indent="3"/>
      <protection hidden="1"/>
    </xf>
    <xf numFmtId="0" fontId="13" fillId="2" borderId="16" xfId="3" applyFont="1" applyFill="1" applyBorder="1" applyAlignment="1" applyProtection="1">
      <alignment horizontal="left" vertical="top" wrapText="1" indent="3"/>
      <protection hidden="1"/>
    </xf>
    <xf numFmtId="0" fontId="12" fillId="0" borderId="79" xfId="3" applyFont="1" applyBorder="1" applyAlignment="1" applyProtection="1">
      <alignment vertical="top" wrapText="1"/>
      <protection locked="0"/>
    </xf>
    <xf numFmtId="0" fontId="12" fillId="2" borderId="90" xfId="3" applyFont="1" applyFill="1" applyBorder="1" applyAlignment="1" applyProtection="1">
      <alignment vertical="top" wrapText="1"/>
      <protection hidden="1"/>
    </xf>
    <xf numFmtId="0" fontId="12" fillId="0" borderId="143" xfId="3" applyFont="1" applyBorder="1" applyAlignment="1" applyProtection="1">
      <alignment horizontal="center" vertical="top" wrapText="1"/>
      <protection locked="0"/>
    </xf>
    <xf numFmtId="0" fontId="12" fillId="2" borderId="143" xfId="3" applyFont="1" applyFill="1" applyBorder="1" applyAlignment="1" applyProtection="1">
      <alignment vertical="top" wrapText="1"/>
      <protection hidden="1"/>
    </xf>
    <xf numFmtId="0" fontId="12" fillId="0" borderId="143" xfId="3" applyFont="1" applyBorder="1" applyAlignment="1" applyProtection="1">
      <alignment vertical="top" wrapText="1"/>
      <protection locked="0"/>
    </xf>
    <xf numFmtId="0" fontId="32" fillId="2" borderId="85" xfId="3" applyFont="1" applyFill="1" applyBorder="1" applyAlignment="1" applyProtection="1">
      <alignment horizontal="left" vertical="top" wrapText="1" indent="2"/>
      <protection hidden="1"/>
    </xf>
    <xf numFmtId="0" fontId="12" fillId="0" borderId="53" xfId="3" quotePrefix="1" applyFont="1" applyBorder="1" applyAlignment="1" applyProtection="1">
      <alignment vertical="top" wrapText="1"/>
      <protection locked="0"/>
    </xf>
    <xf numFmtId="0" fontId="12" fillId="0" borderId="144" xfId="3" applyFont="1" applyBorder="1" applyAlignment="1" applyProtection="1">
      <alignment vertical="top" wrapText="1"/>
      <protection locked="0"/>
    </xf>
    <xf numFmtId="0" fontId="12" fillId="0" borderId="145" xfId="3" applyFont="1" applyBorder="1" applyAlignment="1" applyProtection="1">
      <alignment vertical="top" wrapText="1"/>
      <protection locked="0"/>
    </xf>
    <xf numFmtId="0" fontId="12" fillId="0" borderId="31" xfId="3" applyFont="1" applyBorder="1" applyAlignment="1" applyProtection="1">
      <alignment vertical="top" wrapText="1"/>
      <protection locked="0"/>
    </xf>
    <xf numFmtId="0" fontId="12" fillId="0" borderId="89" xfId="3" applyFont="1" applyBorder="1" applyAlignment="1" applyProtection="1">
      <alignment vertical="top" wrapText="1"/>
      <protection locked="0"/>
    </xf>
    <xf numFmtId="0" fontId="12" fillId="0" borderId="69" xfId="3" applyFont="1" applyBorder="1" applyAlignment="1" applyProtection="1">
      <alignment vertical="top" wrapText="1"/>
      <protection locked="0"/>
    </xf>
    <xf numFmtId="14" fontId="12" fillId="2" borderId="0" xfId="3" applyNumberFormat="1" applyFont="1" applyFill="1" applyBorder="1" applyAlignment="1" applyProtection="1">
      <alignment vertical="top" wrapText="1"/>
      <protection hidden="1"/>
    </xf>
    <xf numFmtId="15" fontId="12" fillId="2" borderId="47" xfId="3" applyNumberFormat="1" applyFont="1" applyFill="1" applyBorder="1" applyAlignment="1">
      <alignment horizontal="center" vertical="top" wrapText="1"/>
    </xf>
    <xf numFmtId="15" fontId="12" fillId="2" borderId="70" xfId="3" applyNumberFormat="1" applyFont="1" applyFill="1" applyBorder="1" applyAlignment="1">
      <alignment horizontal="center" vertical="top" wrapText="1"/>
    </xf>
    <xf numFmtId="0" fontId="13" fillId="2" borderId="0" xfId="3" applyFont="1" applyFill="1" applyBorder="1" applyAlignment="1" applyProtection="1">
      <alignment horizontal="center" vertical="top" wrapText="1"/>
      <protection hidden="1"/>
    </xf>
    <xf numFmtId="0" fontId="13" fillId="2" borderId="0" xfId="3" applyFont="1" applyFill="1" applyBorder="1" applyAlignment="1" applyProtection="1">
      <alignment vertical="top" wrapText="1"/>
      <protection hidden="1"/>
    </xf>
    <xf numFmtId="0" fontId="3" fillId="2" borderId="0" xfId="3" applyFont="1" applyFill="1" applyBorder="1" applyAlignment="1" applyProtection="1">
      <alignment horizontal="left" vertical="center"/>
      <protection hidden="1"/>
    </xf>
    <xf numFmtId="164" fontId="12" fillId="7" borderId="6" xfId="3" applyNumberFormat="1" applyFont="1" applyFill="1" applyBorder="1" applyAlignment="1" applyProtection="1">
      <alignment horizontal="center" vertical="top" wrapText="1"/>
      <protection hidden="1"/>
    </xf>
    <xf numFmtId="164" fontId="12" fillId="7" borderId="6" xfId="3" applyNumberFormat="1" applyFont="1" applyFill="1" applyBorder="1" applyAlignment="1" applyProtection="1">
      <alignment horizontal="center" vertical="center" wrapText="1"/>
      <protection hidden="1"/>
    </xf>
    <xf numFmtId="164" fontId="3" fillId="7" borderId="6" xfId="3" applyNumberFormat="1" applyFont="1" applyFill="1" applyBorder="1" applyAlignment="1" applyProtection="1">
      <alignment horizontal="center" vertical="top"/>
      <protection hidden="1"/>
    </xf>
    <xf numFmtId="0" fontId="0" fillId="0" borderId="0" xfId="0" applyBorder="1"/>
    <xf numFmtId="0" fontId="0" fillId="3" borderId="0" xfId="0" applyFill="1" applyBorder="1" applyAlignment="1" applyProtection="1">
      <alignment horizontal="center" vertical="center"/>
      <protection hidden="1"/>
    </xf>
    <xf numFmtId="0" fontId="3" fillId="3" borderId="5" xfId="3" applyFont="1" applyFill="1" applyBorder="1" applyAlignment="1" applyProtection="1">
      <alignment horizontal="center" vertical="top" wrapText="1"/>
      <protection hidden="1"/>
    </xf>
    <xf numFmtId="0" fontId="0" fillId="3" borderId="20" xfId="0" applyFill="1" applyBorder="1"/>
    <xf numFmtId="0" fontId="3" fillId="3" borderId="147" xfId="3" applyFont="1" applyFill="1" applyBorder="1" applyAlignment="1" applyProtection="1">
      <alignment horizontal="left" vertical="top"/>
      <protection hidden="1"/>
    </xf>
    <xf numFmtId="0" fontId="0" fillId="0" borderId="0" xfId="0" applyFill="1"/>
    <xf numFmtId="0" fontId="3" fillId="2" borderId="8" xfId="3" applyFont="1" applyFill="1" applyBorder="1" applyAlignment="1" applyProtection="1">
      <alignment horizontal="center" vertical="center"/>
      <protection hidden="1"/>
    </xf>
    <xf numFmtId="0" fontId="3" fillId="2" borderId="6" xfId="3" applyFont="1" applyFill="1" applyBorder="1" applyAlignment="1" applyProtection="1">
      <alignment horizontal="center" vertical="center" wrapText="1"/>
      <protection hidden="1"/>
    </xf>
    <xf numFmtId="0" fontId="3" fillId="2" borderId="8" xfId="3" applyFont="1" applyFill="1" applyBorder="1" applyAlignment="1" applyProtection="1">
      <alignment horizontal="center" vertical="center" wrapText="1"/>
      <protection hidden="1"/>
    </xf>
    <xf numFmtId="0" fontId="46" fillId="0" borderId="0" xfId="0" applyFont="1" applyFill="1"/>
    <xf numFmtId="164" fontId="48" fillId="0" borderId="0" xfId="3" applyNumberFormat="1" applyFont="1" applyFill="1" applyAlignment="1" applyProtection="1">
      <alignment vertical="top" wrapText="1"/>
      <protection hidden="1"/>
    </xf>
    <xf numFmtId="0" fontId="45" fillId="0" borderId="0" xfId="0" applyFont="1" applyFill="1" applyBorder="1" applyAlignment="1">
      <alignment wrapText="1"/>
    </xf>
    <xf numFmtId="0" fontId="0" fillId="0" borderId="0" xfId="0" applyFill="1" applyBorder="1" applyAlignment="1">
      <alignment wrapText="1"/>
    </xf>
    <xf numFmtId="164" fontId="36" fillId="3" borderId="132" xfId="3" applyNumberFormat="1" applyFont="1" applyFill="1" applyBorder="1" applyAlignment="1" applyProtection="1">
      <alignment horizontal="center" vertical="center" wrapText="1"/>
      <protection hidden="1"/>
    </xf>
    <xf numFmtId="164" fontId="51" fillId="3" borderId="132" xfId="3" applyNumberFormat="1" applyFont="1" applyFill="1" applyBorder="1" applyAlignment="1" applyProtection="1">
      <alignment horizontal="center" vertical="center" wrapText="1"/>
      <protection hidden="1"/>
    </xf>
    <xf numFmtId="0" fontId="59" fillId="3" borderId="132" xfId="0" applyFont="1" applyFill="1" applyBorder="1" applyAlignment="1" applyProtection="1">
      <alignment horizontal="center" vertical="center"/>
      <protection hidden="1"/>
    </xf>
    <xf numFmtId="164" fontId="36" fillId="3" borderId="132" xfId="3" applyNumberFormat="1" applyFont="1" applyFill="1" applyBorder="1" applyAlignment="1" applyProtection="1">
      <alignment horizontal="center" vertical="center"/>
      <protection hidden="1"/>
    </xf>
    <xf numFmtId="0" fontId="0" fillId="3" borderId="132" xfId="0" applyFill="1" applyBorder="1"/>
    <xf numFmtId="0" fontId="3" fillId="2" borderId="136" xfId="0" applyFont="1" applyFill="1" applyBorder="1" applyProtection="1">
      <protection hidden="1"/>
    </xf>
    <xf numFmtId="0" fontId="0" fillId="3" borderId="137" xfId="0" applyFill="1" applyBorder="1" applyProtection="1">
      <protection hidden="1"/>
    </xf>
    <xf numFmtId="0" fontId="0" fillId="3" borderId="3" xfId="0" applyFill="1" applyBorder="1" applyProtection="1">
      <protection hidden="1"/>
    </xf>
    <xf numFmtId="0" fontId="0" fillId="3" borderId="5" xfId="0" applyFill="1" applyBorder="1" applyProtection="1">
      <protection hidden="1"/>
    </xf>
    <xf numFmtId="0" fontId="5" fillId="2" borderId="4" xfId="0" applyFont="1" applyFill="1" applyBorder="1" applyAlignment="1" applyProtection="1">
      <alignment horizontal="center" vertical="center"/>
      <protection hidden="1"/>
    </xf>
    <xf numFmtId="0" fontId="5" fillId="2" borderId="0" xfId="0" applyFont="1" applyFill="1" applyBorder="1" applyAlignment="1" applyProtection="1">
      <alignment horizontal="center" vertical="center"/>
      <protection hidden="1"/>
    </xf>
    <xf numFmtId="0" fontId="5" fillId="2" borderId="102" xfId="0" applyFont="1" applyFill="1" applyBorder="1" applyAlignment="1" applyProtection="1">
      <alignment horizontal="center" vertical="center"/>
      <protection hidden="1"/>
    </xf>
    <xf numFmtId="0" fontId="3" fillId="2" borderId="121" xfId="0" applyFont="1" applyFill="1" applyBorder="1" applyAlignment="1" applyProtection="1">
      <alignment horizontal="left" vertical="top"/>
      <protection hidden="1"/>
    </xf>
    <xf numFmtId="0" fontId="3" fillId="2" borderId="121" xfId="0" applyFont="1" applyFill="1" applyBorder="1" applyProtection="1">
      <protection hidden="1"/>
    </xf>
    <xf numFmtId="0" fontId="0" fillId="7" borderId="76" xfId="0" applyFill="1" applyBorder="1" applyAlignment="1" applyProtection="1">
      <alignment horizontal="center" vertical="center"/>
      <protection hidden="1"/>
    </xf>
    <xf numFmtId="0" fontId="0" fillId="2" borderId="76" xfId="0" applyFill="1" applyBorder="1" applyAlignment="1" applyProtection="1">
      <alignment horizontal="center"/>
      <protection hidden="1"/>
    </xf>
    <xf numFmtId="0" fontId="0" fillId="3" borderId="20" xfId="0" applyFill="1" applyBorder="1" applyProtection="1">
      <protection hidden="1"/>
    </xf>
    <xf numFmtId="0" fontId="0" fillId="3" borderId="132" xfId="0" applyFill="1" applyBorder="1" applyAlignment="1" applyProtection="1">
      <alignment horizontal="center"/>
      <protection hidden="1"/>
    </xf>
    <xf numFmtId="0" fontId="0" fillId="3" borderId="132" xfId="0" applyFill="1" applyBorder="1" applyProtection="1">
      <protection hidden="1"/>
    </xf>
    <xf numFmtId="0" fontId="60" fillId="12" borderId="24" xfId="0" applyFont="1" applyFill="1" applyBorder="1" applyProtection="1">
      <protection hidden="1"/>
    </xf>
    <xf numFmtId="0" fontId="60" fillId="12" borderId="93" xfId="0" applyFont="1" applyFill="1" applyBorder="1" applyProtection="1">
      <protection hidden="1"/>
    </xf>
    <xf numFmtId="0" fontId="11" fillId="12" borderId="91" xfId="0" applyFont="1" applyFill="1" applyBorder="1" applyProtection="1">
      <protection hidden="1"/>
    </xf>
    <xf numFmtId="0" fontId="11" fillId="12" borderId="92" xfId="0" applyFont="1" applyFill="1" applyBorder="1" applyAlignment="1" applyProtection="1">
      <alignment horizontal="center"/>
      <protection hidden="1"/>
    </xf>
    <xf numFmtId="0" fontId="11" fillId="12" borderId="23" xfId="0" applyFont="1" applyFill="1" applyBorder="1" applyAlignment="1" applyProtection="1">
      <alignment horizontal="center" wrapText="1"/>
      <protection hidden="1"/>
    </xf>
    <xf numFmtId="0" fontId="11" fillId="2" borderId="8" xfId="0" applyFont="1" applyFill="1" applyBorder="1" applyProtection="1">
      <protection hidden="1"/>
    </xf>
    <xf numFmtId="0" fontId="11" fillId="12" borderId="0" xfId="0" applyFont="1" applyFill="1" applyBorder="1" applyAlignment="1" applyProtection="1">
      <alignment horizontal="center"/>
      <protection hidden="1"/>
    </xf>
    <xf numFmtId="0" fontId="61" fillId="7" borderId="0" xfId="0" applyFont="1" applyFill="1" applyBorder="1" applyAlignment="1" applyProtection="1">
      <alignment horizontal="center"/>
      <protection hidden="1"/>
    </xf>
    <xf numFmtId="0" fontId="11" fillId="12" borderId="14" xfId="0" applyFont="1" applyFill="1" applyBorder="1" applyAlignment="1" applyProtection="1">
      <alignment horizontal="center"/>
      <protection hidden="1"/>
    </xf>
    <xf numFmtId="0" fontId="62" fillId="7" borderId="5" xfId="0" applyFont="1" applyFill="1" applyBorder="1" applyProtection="1">
      <protection hidden="1"/>
    </xf>
    <xf numFmtId="0" fontId="61" fillId="12" borderId="14" xfId="0" applyFont="1" applyFill="1" applyBorder="1" applyProtection="1">
      <protection hidden="1"/>
    </xf>
    <xf numFmtId="0" fontId="61" fillId="12" borderId="94" xfId="0" applyFont="1" applyFill="1" applyBorder="1" applyProtection="1">
      <protection hidden="1"/>
    </xf>
    <xf numFmtId="2" fontId="11" fillId="7" borderId="23" xfId="0" applyNumberFormat="1" applyFont="1" applyFill="1" applyBorder="1" applyProtection="1">
      <protection hidden="1"/>
    </xf>
    <xf numFmtId="0" fontId="61" fillId="13" borderId="48" xfId="0" applyFont="1" applyFill="1" applyBorder="1" applyProtection="1">
      <protection hidden="1"/>
    </xf>
    <xf numFmtId="44" fontId="36" fillId="7" borderId="12" xfId="4" applyFont="1" applyFill="1" applyBorder="1" applyProtection="1">
      <protection hidden="1"/>
    </xf>
    <xf numFmtId="44" fontId="36" fillId="7" borderId="14" xfId="4" applyFont="1" applyFill="1" applyBorder="1" applyProtection="1">
      <protection hidden="1"/>
    </xf>
    <xf numFmtId="0" fontId="11" fillId="12" borderId="148" xfId="0" applyFont="1" applyFill="1" applyBorder="1" applyAlignment="1" applyProtection="1">
      <alignment horizontal="center"/>
      <protection hidden="1"/>
    </xf>
    <xf numFmtId="0" fontId="61" fillId="7" borderId="149" xfId="0" applyFont="1" applyFill="1" applyBorder="1" applyAlignment="1" applyProtection="1">
      <alignment horizontal="center"/>
      <protection hidden="1"/>
    </xf>
    <xf numFmtId="0" fontId="61" fillId="7" borderId="27" xfId="0" applyFont="1" applyFill="1" applyBorder="1" applyAlignment="1" applyProtection="1">
      <alignment horizontal="center"/>
      <protection hidden="1"/>
    </xf>
    <xf numFmtId="0" fontId="61" fillId="12" borderId="27" xfId="0" applyFont="1" applyFill="1" applyBorder="1" applyProtection="1">
      <protection hidden="1"/>
    </xf>
    <xf numFmtId="0" fontId="61" fillId="12" borderId="150" xfId="0" applyFont="1" applyFill="1" applyBorder="1" applyProtection="1">
      <protection hidden="1"/>
    </xf>
    <xf numFmtId="0" fontId="3" fillId="17" borderId="8" xfId="0" applyFont="1" applyFill="1" applyBorder="1" applyAlignment="1">
      <alignment horizontal="center"/>
    </xf>
    <xf numFmtId="0" fontId="3" fillId="3" borderId="0" xfId="0" applyFont="1" applyFill="1" applyBorder="1" applyAlignment="1">
      <alignment horizontal="center"/>
    </xf>
    <xf numFmtId="0" fontId="12" fillId="3" borderId="0" xfId="0" applyFont="1" applyFill="1" applyBorder="1" applyAlignment="1">
      <alignment horizontal="center"/>
    </xf>
    <xf numFmtId="0" fontId="3" fillId="2" borderId="6" xfId="0" applyFont="1" applyFill="1" applyBorder="1" applyAlignment="1"/>
    <xf numFmtId="0" fontId="3" fillId="3" borderId="0" xfId="0" applyFont="1" applyFill="1" applyAlignment="1">
      <alignment horizontal="left"/>
    </xf>
    <xf numFmtId="0" fontId="12" fillId="2" borderId="0" xfId="0" applyFont="1" applyFill="1" applyBorder="1" applyAlignment="1">
      <alignment vertical="top" wrapText="1"/>
    </xf>
    <xf numFmtId="0" fontId="0" fillId="2" borderId="0" xfId="0" applyFill="1" applyBorder="1" applyAlignment="1">
      <alignment horizontal="center"/>
    </xf>
    <xf numFmtId="0" fontId="3" fillId="2" borderId="0" xfId="0" applyFont="1" applyFill="1" applyBorder="1" applyAlignment="1"/>
    <xf numFmtId="0" fontId="3" fillId="2" borderId="0" xfId="0" applyFont="1" applyFill="1" applyBorder="1" applyAlignment="1">
      <alignment horizontal="left" vertical="center"/>
    </xf>
    <xf numFmtId="0" fontId="3" fillId="2" borderId="0" xfId="0" applyFont="1" applyFill="1" applyBorder="1" applyAlignment="1">
      <alignment vertical="center"/>
    </xf>
    <xf numFmtId="0" fontId="12" fillId="18" borderId="8" xfId="0" applyFont="1" applyFill="1" applyBorder="1" applyAlignment="1" applyProtection="1">
      <alignment horizontal="left" vertical="top" wrapText="1"/>
      <protection locked="0"/>
    </xf>
    <xf numFmtId="0" fontId="54" fillId="0" borderId="0" xfId="0" applyFont="1" applyFill="1" applyBorder="1" applyAlignment="1">
      <alignment horizontal="center" wrapText="1"/>
    </xf>
    <xf numFmtId="0" fontId="46" fillId="0" borderId="0" xfId="0" applyFont="1" applyFill="1" applyAlignment="1">
      <alignment horizontal="center"/>
    </xf>
    <xf numFmtId="0" fontId="0" fillId="14" borderId="0" xfId="0" applyFill="1" applyBorder="1" applyAlignment="1">
      <alignment horizontal="center" wrapText="1"/>
    </xf>
    <xf numFmtId="0" fontId="12" fillId="2" borderId="0" xfId="0" applyFont="1" applyFill="1" applyBorder="1" applyAlignment="1">
      <alignment horizontal="center" vertical="center"/>
    </xf>
    <xf numFmtId="0" fontId="13" fillId="14" borderId="0" xfId="0" applyFont="1" applyFill="1" applyBorder="1" applyAlignment="1">
      <alignment horizontal="center" vertical="center"/>
    </xf>
    <xf numFmtId="0" fontId="13" fillId="3" borderId="0" xfId="0" applyFont="1" applyFill="1" applyBorder="1" applyAlignment="1">
      <alignment horizontal="center" vertical="center"/>
    </xf>
    <xf numFmtId="0" fontId="55" fillId="8" borderId="0" xfId="0" applyFont="1" applyFill="1" applyBorder="1" applyAlignment="1">
      <alignment horizontal="center" wrapText="1"/>
    </xf>
    <xf numFmtId="49" fontId="0" fillId="3" borderId="0" xfId="0" applyNumberFormat="1" applyFill="1" applyBorder="1"/>
    <xf numFmtId="0" fontId="13" fillId="2" borderId="0" xfId="0" applyFont="1" applyFill="1" applyBorder="1" applyAlignment="1">
      <alignment horizontal="center" vertical="center"/>
    </xf>
    <xf numFmtId="0" fontId="0" fillId="13" borderId="0" xfId="0" applyFill="1" applyBorder="1"/>
    <xf numFmtId="0" fontId="0" fillId="13" borderId="0" xfId="0" applyFill="1" applyBorder="1" applyAlignment="1">
      <alignment horizontal="center"/>
    </xf>
    <xf numFmtId="0" fontId="45" fillId="3" borderId="0" xfId="0" applyFont="1" applyFill="1" applyBorder="1" applyAlignment="1">
      <alignment horizontal="left" wrapText="1"/>
    </xf>
    <xf numFmtId="0" fontId="54" fillId="2" borderId="5" xfId="0" applyFont="1" applyFill="1" applyBorder="1" applyAlignment="1">
      <alignment horizontal="center" wrapText="1"/>
    </xf>
    <xf numFmtId="0" fontId="46" fillId="3" borderId="5" xfId="0" applyFont="1" applyFill="1" applyBorder="1" applyAlignment="1">
      <alignment horizontal="center"/>
    </xf>
    <xf numFmtId="49" fontId="0" fillId="2" borderId="0" xfId="0" applyNumberFormat="1" applyFill="1" applyBorder="1"/>
    <xf numFmtId="49" fontId="0" fillId="2" borderId="0" xfId="0" applyNumberFormat="1" applyFill="1" applyBorder="1" applyAlignment="1">
      <alignment horizontal="center" vertical="center"/>
    </xf>
    <xf numFmtId="49" fontId="0" fillId="3" borderId="0" xfId="0" applyNumberFormat="1" applyFill="1" applyBorder="1" applyAlignment="1">
      <alignment horizontal="center" vertical="center"/>
    </xf>
    <xf numFmtId="0" fontId="13" fillId="2" borderId="0" xfId="0" applyFont="1" applyFill="1" applyBorder="1" applyAlignment="1">
      <alignment horizontal="left"/>
    </xf>
    <xf numFmtId="0" fontId="12" fillId="2" borderId="0" xfId="0" applyFont="1" applyFill="1" applyBorder="1" applyAlignment="1">
      <alignment horizontal="center" vertical="center" wrapText="1"/>
    </xf>
    <xf numFmtId="0" fontId="12" fillId="3"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34" fillId="2" borderId="0" xfId="0" applyFont="1" applyFill="1" applyBorder="1"/>
    <xf numFmtId="0" fontId="0" fillId="2" borderId="0" xfId="0" applyFill="1" applyBorder="1" applyAlignment="1">
      <alignment wrapText="1"/>
    </xf>
    <xf numFmtId="0" fontId="16" fillId="2" borderId="0" xfId="0" applyFont="1" applyFill="1" applyBorder="1"/>
    <xf numFmtId="0" fontId="5" fillId="2" borderId="0" xfId="0" applyFont="1" applyFill="1" applyBorder="1" applyAlignment="1">
      <alignment horizontal="left"/>
    </xf>
    <xf numFmtId="0" fontId="17" fillId="2" borderId="0" xfId="0" applyFont="1" applyFill="1" applyBorder="1" applyAlignment="1">
      <alignment horizontal="center" vertical="center"/>
    </xf>
    <xf numFmtId="0" fontId="17" fillId="3" borderId="0" xfId="0" applyFont="1" applyFill="1" applyBorder="1" applyAlignment="1">
      <alignment horizontal="center" vertical="center"/>
    </xf>
    <xf numFmtId="0" fontId="18" fillId="2" borderId="0" xfId="0" applyFont="1" applyFill="1" applyBorder="1" applyAlignment="1">
      <alignment horizontal="center"/>
    </xf>
    <xf numFmtId="0" fontId="0" fillId="3" borderId="19" xfId="0" applyFill="1" applyBorder="1" applyAlignment="1">
      <alignment horizontal="center" vertical="center"/>
    </xf>
    <xf numFmtId="0" fontId="0" fillId="3" borderId="19" xfId="0" applyFill="1" applyBorder="1"/>
    <xf numFmtId="0" fontId="0" fillId="3" borderId="19" xfId="0" applyFill="1" applyBorder="1" applyAlignment="1">
      <alignment horizontal="center"/>
    </xf>
    <xf numFmtId="0" fontId="0" fillId="7" borderId="0" xfId="0" applyFill="1" applyBorder="1" applyAlignment="1" applyProtection="1">
      <alignment horizontal="center" vertical="center"/>
      <protection hidden="1"/>
    </xf>
    <xf numFmtId="0" fontId="0" fillId="7" borderId="19" xfId="0" applyFill="1" applyBorder="1" applyAlignment="1" applyProtection="1">
      <alignment horizontal="center" vertical="center"/>
      <protection hidden="1"/>
    </xf>
    <xf numFmtId="0" fontId="12" fillId="7" borderId="8" xfId="0" applyFont="1" applyFill="1" applyBorder="1" applyAlignment="1" applyProtection="1">
      <alignment horizontal="center" vertical="center" wrapText="1"/>
      <protection hidden="1"/>
    </xf>
    <xf numFmtId="0" fontId="45" fillId="7" borderId="8" xfId="0" applyFont="1" applyFill="1" applyBorder="1" applyAlignment="1" applyProtection="1">
      <alignment horizontal="center" vertical="center"/>
      <protection hidden="1"/>
    </xf>
    <xf numFmtId="0" fontId="47" fillId="7" borderId="8" xfId="0" applyFont="1" applyFill="1" applyBorder="1" applyAlignment="1" applyProtection="1">
      <alignment horizontal="center" vertical="center"/>
      <protection hidden="1"/>
    </xf>
    <xf numFmtId="0" fontId="0" fillId="3" borderId="13" xfId="0" applyFill="1" applyBorder="1"/>
    <xf numFmtId="0" fontId="0" fillId="7" borderId="8" xfId="0" applyFill="1" applyBorder="1" applyAlignment="1" applyProtection="1">
      <alignment vertical="center" wrapText="1"/>
      <protection hidden="1"/>
    </xf>
    <xf numFmtId="0" fontId="12" fillId="7" borderId="8" xfId="0" applyFont="1" applyFill="1" applyBorder="1" applyAlignment="1" applyProtection="1">
      <alignment horizontal="left" vertical="center"/>
      <protection hidden="1"/>
    </xf>
    <xf numFmtId="0" fontId="0" fillId="3" borderId="21" xfId="0" applyFill="1" applyBorder="1" applyAlignment="1"/>
    <xf numFmtId="0" fontId="0" fillId="3" borderId="22" xfId="0" applyFill="1" applyBorder="1" applyAlignment="1"/>
    <xf numFmtId="0" fontId="45" fillId="3" borderId="22" xfId="0" applyFont="1" applyFill="1" applyBorder="1" applyAlignment="1"/>
    <xf numFmtId="0" fontId="0" fillId="3" borderId="23" xfId="0" applyFill="1" applyBorder="1" applyAlignment="1"/>
    <xf numFmtId="0" fontId="0" fillId="3" borderId="22" xfId="0" applyFill="1" applyBorder="1"/>
    <xf numFmtId="0" fontId="63" fillId="3" borderId="0" xfId="0" applyFont="1" applyFill="1" applyBorder="1" applyAlignment="1">
      <alignment horizontal="center" vertical="center"/>
    </xf>
    <xf numFmtId="0" fontId="11" fillId="2" borderId="22" xfId="0" applyFont="1" applyFill="1" applyBorder="1" applyAlignment="1">
      <alignment vertical="center"/>
    </xf>
    <xf numFmtId="0" fontId="0" fillId="4" borderId="133" xfId="0" applyFill="1" applyBorder="1" applyAlignment="1" applyProtection="1">
      <alignment horizontal="center"/>
      <protection locked="0"/>
    </xf>
    <xf numFmtId="0" fontId="11" fillId="2" borderId="1" xfId="0" applyFont="1" applyFill="1" applyBorder="1" applyAlignment="1">
      <alignment horizontal="center" vertical="center" wrapText="1"/>
    </xf>
    <xf numFmtId="0" fontId="11" fillId="2" borderId="3" xfId="0" applyFont="1" applyFill="1" applyBorder="1" applyAlignment="1">
      <alignment horizontal="center" vertical="center"/>
    </xf>
    <xf numFmtId="0" fontId="1" fillId="2" borderId="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64" fillId="0" borderId="6" xfId="0" applyFont="1" applyFill="1" applyBorder="1" applyAlignment="1" applyProtection="1">
      <alignment horizontal="left"/>
      <protection locked="0"/>
    </xf>
    <xf numFmtId="0" fontId="65" fillId="2" borderId="0" xfId="0" applyFont="1" applyFill="1"/>
    <xf numFmtId="0" fontId="12" fillId="0" borderId="8" xfId="0" applyFont="1" applyFill="1" applyBorder="1" applyAlignment="1" applyProtection="1">
      <alignment horizontal="left" vertical="top" wrapText="1"/>
      <protection locked="0"/>
    </xf>
    <xf numFmtId="0" fontId="3" fillId="2" borderId="11" xfId="3" applyFont="1" applyFill="1" applyBorder="1" applyAlignment="1" applyProtection="1">
      <alignment horizontal="left" vertical="top"/>
      <protection hidden="1"/>
    </xf>
    <xf numFmtId="0" fontId="0" fillId="3" borderId="0" xfId="0" applyFill="1" applyBorder="1" applyAlignment="1"/>
    <xf numFmtId="0" fontId="45" fillId="3" borderId="0" xfId="0" applyFont="1" applyFill="1" applyBorder="1"/>
    <xf numFmtId="0" fontId="46" fillId="0" borderId="0" xfId="0" applyFont="1"/>
    <xf numFmtId="0" fontId="12" fillId="2" borderId="65" xfId="3" applyFont="1" applyFill="1" applyBorder="1" applyAlignment="1" applyProtection="1">
      <alignment horizontal="left" vertical="top" wrapText="1"/>
      <protection hidden="1"/>
    </xf>
    <xf numFmtId="2" fontId="12" fillId="2" borderId="65" xfId="3" applyNumberFormat="1" applyFont="1" applyFill="1" applyBorder="1" applyAlignment="1" applyProtection="1">
      <alignment horizontal="center" vertical="top" wrapText="1"/>
      <protection hidden="1"/>
    </xf>
    <xf numFmtId="0" fontId="3" fillId="2" borderId="119" xfId="3" applyFont="1" applyFill="1" applyBorder="1" applyAlignment="1" applyProtection="1">
      <alignment horizontal="center" vertical="top" wrapText="1"/>
      <protection hidden="1"/>
    </xf>
    <xf numFmtId="2" fontId="12" fillId="2" borderId="65" xfId="3" applyNumberFormat="1" applyFont="1" applyFill="1" applyBorder="1" applyAlignment="1" applyProtection="1">
      <alignment horizontal="left" vertical="top" wrapText="1"/>
      <protection hidden="1"/>
    </xf>
    <xf numFmtId="14" fontId="45" fillId="0" borderId="0" xfId="0" applyNumberFormat="1" applyFont="1"/>
    <xf numFmtId="0" fontId="3" fillId="8" borderId="38" xfId="3" applyFont="1" applyFill="1" applyBorder="1" applyAlignment="1" applyProtection="1">
      <alignment horizontal="center" vertical="top" wrapText="1"/>
      <protection hidden="1"/>
    </xf>
    <xf numFmtId="0" fontId="6" fillId="2" borderId="75" xfId="3" applyFont="1" applyFill="1" applyBorder="1" applyAlignment="1" applyProtection="1">
      <alignment horizontal="center" vertical="top" wrapText="1"/>
      <protection hidden="1"/>
    </xf>
    <xf numFmtId="15" fontId="12" fillId="8" borderId="38" xfId="3" applyNumberFormat="1" applyFont="1" applyFill="1" applyBorder="1" applyAlignment="1" applyProtection="1">
      <alignment horizontal="center" vertical="top" wrapText="1"/>
      <protection locked="0"/>
    </xf>
    <xf numFmtId="15" fontId="12" fillId="6" borderId="38" xfId="3" applyNumberFormat="1" applyFont="1" applyFill="1" applyBorder="1" applyAlignment="1" applyProtection="1">
      <alignment horizontal="center" vertical="center" wrapText="1"/>
      <protection locked="0"/>
    </xf>
    <xf numFmtId="0" fontId="12" fillId="4" borderId="38" xfId="3" applyFont="1" applyFill="1" applyBorder="1" applyAlignment="1" applyProtection="1">
      <alignment horizontal="center" vertical="center" wrapText="1"/>
      <protection locked="0"/>
    </xf>
    <xf numFmtId="14" fontId="45" fillId="7" borderId="38" xfId="0" applyNumberFormat="1" applyFont="1" applyFill="1" applyBorder="1" applyAlignment="1">
      <alignment horizontal="center" vertical="center"/>
    </xf>
    <xf numFmtId="2" fontId="12" fillId="2" borderId="65" xfId="3" applyNumberFormat="1" applyFont="1" applyFill="1" applyBorder="1" applyAlignment="1" applyProtection="1">
      <alignment horizontal="center" vertical="top" wrapText="1"/>
      <protection hidden="1"/>
    </xf>
    <xf numFmtId="2" fontId="12" fillId="2" borderId="65" xfId="3" applyNumberFormat="1" applyFont="1" applyFill="1" applyBorder="1" applyAlignment="1" applyProtection="1">
      <alignment horizontal="left" vertical="top" wrapText="1"/>
      <protection hidden="1"/>
    </xf>
    <xf numFmtId="0" fontId="12" fillId="8" borderId="38" xfId="3" applyFont="1" applyFill="1" applyBorder="1" applyAlignment="1" applyProtection="1">
      <alignment horizontal="center" vertical="top" wrapText="1"/>
      <protection locked="0"/>
    </xf>
    <xf numFmtId="0" fontId="3" fillId="19" borderId="38" xfId="3" applyFont="1" applyFill="1" applyBorder="1" applyAlignment="1" applyProtection="1">
      <alignment horizontal="center" vertical="top" wrapText="1"/>
      <protection hidden="1"/>
    </xf>
    <xf numFmtId="0" fontId="0" fillId="3" borderId="105" xfId="0" applyFill="1" applyBorder="1" applyProtection="1">
      <protection hidden="1"/>
    </xf>
    <xf numFmtId="0" fontId="0" fillId="3" borderId="98" xfId="0" applyFill="1" applyBorder="1" applyProtection="1">
      <protection hidden="1"/>
    </xf>
    <xf numFmtId="0" fontId="0" fillId="3" borderId="107" xfId="0" applyFill="1" applyBorder="1" applyProtection="1">
      <protection hidden="1"/>
    </xf>
    <xf numFmtId="0" fontId="0" fillId="3" borderId="103" xfId="0" applyFill="1" applyBorder="1" applyProtection="1">
      <protection hidden="1"/>
    </xf>
    <xf numFmtId="0" fontId="0" fillId="3" borderId="146" xfId="0" applyFill="1" applyBorder="1" applyProtection="1">
      <protection hidden="1"/>
    </xf>
    <xf numFmtId="0" fontId="0" fillId="3" borderId="147" xfId="0" applyFill="1" applyBorder="1" applyProtection="1">
      <protection hidden="1"/>
    </xf>
    <xf numFmtId="0" fontId="0" fillId="3" borderId="147" xfId="0" applyFill="1" applyBorder="1" applyAlignment="1" applyProtection="1">
      <alignment wrapText="1"/>
      <protection hidden="1"/>
    </xf>
    <xf numFmtId="0" fontId="56" fillId="3" borderId="147" xfId="0" applyFont="1" applyFill="1" applyBorder="1" applyAlignment="1" applyProtection="1">
      <alignment horizontal="center" vertical="top"/>
      <protection hidden="1"/>
    </xf>
    <xf numFmtId="0" fontId="58" fillId="3" borderId="147" xfId="0" applyFont="1" applyFill="1" applyBorder="1" applyAlignment="1" applyProtection="1">
      <alignment horizontal="center" vertical="center"/>
      <protection hidden="1"/>
    </xf>
    <xf numFmtId="0" fontId="0" fillId="3" borderId="147" xfId="0" applyFill="1" applyBorder="1" applyAlignment="1" applyProtection="1">
      <alignment horizontal="center" vertical="center"/>
      <protection hidden="1"/>
    </xf>
    <xf numFmtId="0" fontId="11" fillId="3" borderId="0" xfId="0" applyFont="1" applyFill="1" applyBorder="1" applyProtection="1">
      <protection hidden="1"/>
    </xf>
    <xf numFmtId="44" fontId="36" fillId="3" borderId="0" xfId="4" applyFont="1" applyFill="1" applyBorder="1" applyProtection="1">
      <protection hidden="1"/>
    </xf>
    <xf numFmtId="0" fontId="0" fillId="3" borderId="0" xfId="0" applyFill="1" applyBorder="1" applyProtection="1">
      <protection hidden="1"/>
    </xf>
    <xf numFmtId="0" fontId="26" fillId="3" borderId="0" xfId="0" applyFont="1" applyFill="1" applyBorder="1" applyProtection="1">
      <protection hidden="1"/>
    </xf>
    <xf numFmtId="0" fontId="61" fillId="3" borderId="0" xfId="0" applyFont="1" applyFill="1" applyBorder="1" applyProtection="1">
      <protection hidden="1"/>
    </xf>
    <xf numFmtId="0" fontId="61" fillId="13" borderId="81" xfId="0" applyFont="1" applyFill="1" applyBorder="1" applyProtection="1">
      <protection hidden="1"/>
    </xf>
    <xf numFmtId="0" fontId="25" fillId="3" borderId="0" xfId="1" applyFill="1" applyBorder="1" applyAlignment="1" applyProtection="1">
      <protection hidden="1"/>
    </xf>
    <xf numFmtId="44" fontId="36" fillId="7" borderId="17" xfId="4" applyFont="1" applyFill="1" applyBorder="1" applyProtection="1">
      <protection hidden="1"/>
    </xf>
    <xf numFmtId="0" fontId="39" fillId="2" borderId="0" xfId="0" applyFont="1" applyFill="1" applyBorder="1" applyProtection="1">
      <protection hidden="1"/>
    </xf>
    <xf numFmtId="164" fontId="3" fillId="3" borderId="26" xfId="0" applyNumberFormat="1" applyFont="1" applyFill="1" applyBorder="1" applyAlignment="1">
      <alignment horizontal="center"/>
    </xf>
    <xf numFmtId="0" fontId="3" fillId="3" borderId="97" xfId="0" applyFont="1" applyFill="1" applyBorder="1" applyAlignment="1">
      <alignment horizontal="center"/>
    </xf>
    <xf numFmtId="0" fontId="3" fillId="3" borderId="26" xfId="0" applyFont="1" applyFill="1" applyBorder="1" applyAlignment="1">
      <alignment horizontal="center"/>
    </xf>
    <xf numFmtId="0" fontId="3" fillId="3" borderId="98" xfId="0" applyFont="1" applyFill="1" applyBorder="1" applyAlignment="1">
      <alignment horizontal="center"/>
    </xf>
    <xf numFmtId="0" fontId="3" fillId="2" borderId="0" xfId="0" applyFont="1" applyFill="1" applyBorder="1" applyAlignment="1">
      <alignment horizontal="left" vertical="center" wrapText="1"/>
    </xf>
    <xf numFmtId="0" fontId="3" fillId="2" borderId="0" xfId="0" applyFont="1" applyFill="1" applyBorder="1" applyAlignment="1">
      <alignment horizontal="left"/>
    </xf>
    <xf numFmtId="0" fontId="6" fillId="2" borderId="0" xfId="0" applyFont="1" applyFill="1" applyBorder="1" applyAlignment="1">
      <alignment horizontal="left" vertical="center" wrapText="1"/>
    </xf>
    <xf numFmtId="0" fontId="12" fillId="2" borderId="0" xfId="0" applyFont="1" applyFill="1" applyBorder="1" applyAlignment="1">
      <alignment horizontal="left" vertical="top" wrapText="1"/>
    </xf>
    <xf numFmtId="0" fontId="0" fillId="2" borderId="0" xfId="0" applyFill="1" applyBorder="1" applyAlignment="1">
      <alignment horizontal="left" vertical="center"/>
    </xf>
    <xf numFmtId="0" fontId="0" fillId="3" borderId="0" xfId="0" applyFill="1" applyBorder="1" applyAlignment="1">
      <alignment horizontal="left" vertical="top" wrapText="1"/>
    </xf>
    <xf numFmtId="0" fontId="0" fillId="3" borderId="0" xfId="0" applyFill="1" applyBorder="1" applyAlignment="1">
      <alignment horizontal="left" wrapText="1"/>
    </xf>
    <xf numFmtId="0" fontId="11" fillId="2" borderId="10"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6"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3" fillId="2" borderId="97" xfId="0" applyFont="1" applyFill="1" applyBorder="1" applyAlignment="1">
      <alignment horizontal="center"/>
    </xf>
    <xf numFmtId="0" fontId="3" fillId="2" borderId="26" xfId="0" applyFont="1" applyFill="1" applyBorder="1" applyAlignment="1">
      <alignment horizontal="center"/>
    </xf>
    <xf numFmtId="0" fontId="3" fillId="2" borderId="98" xfId="0" applyFont="1" applyFill="1" applyBorder="1" applyAlignment="1">
      <alignment horizontal="center"/>
    </xf>
    <xf numFmtId="0" fontId="49" fillId="2" borderId="10" xfId="0" applyFont="1" applyFill="1" applyBorder="1" applyAlignment="1">
      <alignment wrapText="1"/>
    </xf>
    <xf numFmtId="0" fontId="49" fillId="2" borderId="11" xfId="0" applyFont="1" applyFill="1" applyBorder="1" applyAlignment="1">
      <alignment wrapText="1"/>
    </xf>
    <xf numFmtId="0" fontId="49" fillId="2" borderId="12" xfId="0" applyFont="1" applyFill="1" applyBorder="1" applyAlignment="1">
      <alignment wrapText="1"/>
    </xf>
    <xf numFmtId="0" fontId="49" fillId="2" borderId="13" xfId="0" applyFont="1" applyFill="1" applyBorder="1" applyAlignment="1">
      <alignment wrapText="1"/>
    </xf>
    <xf numFmtId="0" fontId="49" fillId="2" borderId="0" xfId="0" applyFont="1" applyFill="1" applyBorder="1" applyAlignment="1">
      <alignment wrapText="1"/>
    </xf>
    <xf numFmtId="0" fontId="49" fillId="2" borderId="14" xfId="0" applyFont="1" applyFill="1" applyBorder="1" applyAlignment="1">
      <alignment wrapText="1"/>
    </xf>
    <xf numFmtId="0" fontId="49" fillId="2" borderId="15" xfId="0" applyFont="1" applyFill="1" applyBorder="1" applyAlignment="1">
      <alignment wrapText="1"/>
    </xf>
    <xf numFmtId="0" fontId="49" fillId="2" borderId="16" xfId="0" applyFont="1" applyFill="1" applyBorder="1" applyAlignment="1">
      <alignment wrapText="1"/>
    </xf>
    <xf numFmtId="0" fontId="49" fillId="2" borderId="17" xfId="0" applyFont="1" applyFill="1" applyBorder="1" applyAlignment="1">
      <alignment wrapText="1"/>
    </xf>
    <xf numFmtId="0" fontId="1" fillId="2" borderId="0" xfId="0" applyFont="1" applyFill="1" applyBorder="1" applyAlignment="1">
      <alignment horizontal="center" vertical="center" wrapText="1"/>
    </xf>
    <xf numFmtId="0" fontId="36" fillId="2" borderId="6" xfId="0" applyFont="1" applyFill="1" applyBorder="1" applyAlignment="1">
      <alignment horizontal="center" vertical="center"/>
    </xf>
    <xf numFmtId="0" fontId="36" fillId="2" borderId="7" xfId="0" applyFont="1" applyFill="1" applyBorder="1" applyAlignment="1">
      <alignment horizontal="center" vertical="center"/>
    </xf>
    <xf numFmtId="0" fontId="11" fillId="2" borderId="6"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5" fillId="0" borderId="8" xfId="0" applyFont="1" applyBorder="1" applyAlignment="1" applyProtection="1">
      <alignment horizontal="center" vertical="center"/>
      <protection locked="0"/>
    </xf>
    <xf numFmtId="164" fontId="3" fillId="2" borderId="26" xfId="0" applyNumberFormat="1" applyFont="1" applyFill="1" applyBorder="1" applyAlignment="1">
      <alignment horizontal="center"/>
    </xf>
    <xf numFmtId="0" fontId="4" fillId="6" borderId="6" xfId="0" applyFont="1" applyFill="1" applyBorder="1" applyAlignment="1" applyProtection="1">
      <alignment horizontal="center" vertical="center" wrapText="1"/>
      <protection locked="0"/>
    </xf>
    <xf numFmtId="0" fontId="4" fillId="6" borderId="9" xfId="0"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0" fontId="66" fillId="2" borderId="8" xfId="0" applyFont="1" applyFill="1" applyBorder="1" applyAlignment="1">
      <alignment horizontal="center" vertical="center"/>
    </xf>
    <xf numFmtId="0" fontId="0" fillId="0" borderId="8" xfId="0" applyFill="1" applyBorder="1" applyAlignment="1" applyProtection="1">
      <alignment horizontal="center"/>
      <protection locked="0"/>
    </xf>
    <xf numFmtId="0" fontId="0" fillId="17" borderId="8" xfId="0" applyFill="1" applyBorder="1" applyAlignment="1">
      <alignment horizontal="center"/>
    </xf>
    <xf numFmtId="0" fontId="5" fillId="8" borderId="9" xfId="0" applyFont="1" applyFill="1" applyBorder="1" applyAlignment="1">
      <alignment horizontal="center"/>
    </xf>
    <xf numFmtId="0" fontId="5" fillId="8" borderId="7" xfId="0" applyFont="1" applyFill="1" applyBorder="1" applyAlignment="1">
      <alignment horizontal="center"/>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0" xfId="0" applyFont="1" applyFill="1" applyAlignment="1">
      <alignment horizontal="center" vertical="top" wrapText="1"/>
    </xf>
    <xf numFmtId="0" fontId="9" fillId="2" borderId="0" xfId="0" applyFont="1" applyFill="1" applyAlignment="1">
      <alignment horizontal="center" vertical="center" wrapText="1"/>
    </xf>
    <xf numFmtId="0" fontId="11" fillId="2" borderId="0" xfId="0" applyFont="1" applyFill="1" applyBorder="1" applyAlignment="1">
      <alignment horizontal="center" wrapText="1"/>
    </xf>
    <xf numFmtId="0" fontId="11" fillId="2" borderId="16" xfId="0" applyFont="1" applyFill="1" applyBorder="1" applyAlignment="1">
      <alignment horizontal="center" wrapText="1"/>
    </xf>
    <xf numFmtId="0" fontId="3" fillId="17" borderId="8"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3" fillId="2" borderId="8" xfId="0" applyFont="1" applyFill="1" applyBorder="1" applyAlignment="1">
      <alignment horizontal="left"/>
    </xf>
    <xf numFmtId="0" fontId="12" fillId="7" borderId="8" xfId="0" applyFont="1" applyFill="1" applyBorder="1" applyAlignment="1">
      <alignment horizontal="center"/>
    </xf>
    <xf numFmtId="0" fontId="0" fillId="14" borderId="8" xfId="0" applyFill="1" applyBorder="1" applyAlignment="1">
      <alignment horizontal="center" wrapText="1"/>
    </xf>
    <xf numFmtId="0" fontId="11" fillId="2" borderId="21" xfId="0" applyFont="1" applyFill="1" applyBorder="1" applyAlignment="1">
      <alignment horizontal="center" vertical="center" wrapText="1"/>
    </xf>
    <xf numFmtId="0" fontId="11" fillId="2" borderId="22"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6" xfId="0" applyFont="1" applyFill="1" applyBorder="1" applyAlignment="1">
      <alignment horizontal="center" wrapText="1"/>
    </xf>
    <xf numFmtId="0" fontId="11" fillId="2" borderId="9" xfId="0" applyFont="1" applyFill="1" applyBorder="1" applyAlignment="1">
      <alignment horizontal="center" wrapText="1"/>
    </xf>
    <xf numFmtId="0" fontId="11" fillId="2" borderId="7" xfId="0" applyFont="1" applyFill="1" applyBorder="1" applyAlignment="1">
      <alignment horizontal="center" wrapText="1"/>
    </xf>
    <xf numFmtId="0" fontId="0" fillId="3" borderId="0" xfId="0" applyFill="1" applyAlignment="1">
      <alignment horizontal="center"/>
    </xf>
    <xf numFmtId="0" fontId="13" fillId="2" borderId="16" xfId="0" applyFont="1" applyFill="1" applyBorder="1" applyAlignment="1">
      <alignment horizontal="center"/>
    </xf>
    <xf numFmtId="0" fontId="18" fillId="2" borderId="8" xfId="0" applyFont="1" applyFill="1" applyBorder="1" applyAlignment="1">
      <alignment horizont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2" fillId="2" borderId="8"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12" fillId="7" borderId="6" xfId="0" applyFont="1" applyFill="1" applyBorder="1" applyAlignment="1">
      <alignment horizontal="center" vertical="center"/>
    </xf>
    <xf numFmtId="0" fontId="12" fillId="7" borderId="7" xfId="0" applyFont="1" applyFill="1" applyBorder="1" applyAlignment="1">
      <alignment horizontal="center" vertical="center"/>
    </xf>
    <xf numFmtId="0" fontId="51" fillId="14" borderId="0" xfId="0" applyFont="1" applyFill="1" applyBorder="1" applyAlignment="1">
      <alignment horizontal="left" wrapText="1"/>
    </xf>
    <xf numFmtId="0" fontId="36" fillId="14" borderId="0" xfId="0" applyFont="1" applyFill="1" applyBorder="1" applyAlignment="1">
      <alignment horizontal="left" wrapText="1"/>
    </xf>
    <xf numFmtId="0" fontId="3" fillId="2" borderId="0" xfId="0" applyFont="1" applyFill="1" applyAlignment="1">
      <alignment horizontal="left" vertical="center" wrapText="1"/>
    </xf>
    <xf numFmtId="0" fontId="3" fillId="2" borderId="9" xfId="0" applyFont="1" applyFill="1" applyBorder="1" applyAlignment="1">
      <alignment horizontal="center" vertical="center" wrapText="1"/>
    </xf>
    <xf numFmtId="0" fontId="20" fillId="2" borderId="22" xfId="0" applyFont="1" applyFill="1" applyBorder="1" applyAlignment="1">
      <alignment horizontal="center" vertical="center"/>
    </xf>
    <xf numFmtId="0" fontId="0" fillId="7" borderId="8" xfId="0" applyFill="1" applyBorder="1" applyAlignment="1">
      <alignment horizontal="center"/>
    </xf>
    <xf numFmtId="0" fontId="0" fillId="7" borderId="6" xfId="0" applyFill="1" applyBorder="1" applyAlignment="1">
      <alignment horizontal="center"/>
    </xf>
    <xf numFmtId="0" fontId="10" fillId="2" borderId="7" xfId="0" applyFont="1" applyFill="1" applyBorder="1" applyAlignment="1">
      <alignment horizontal="left" vertical="center" wrapText="1"/>
    </xf>
    <xf numFmtId="0" fontId="0" fillId="7" borderId="25" xfId="0" applyFill="1" applyBorder="1" applyAlignment="1">
      <alignment horizontal="center"/>
    </xf>
    <xf numFmtId="0" fontId="3" fillId="2" borderId="46" xfId="0" applyFont="1" applyFill="1" applyBorder="1" applyAlignment="1">
      <alignment horizontal="left" wrapText="1" indent="6"/>
    </xf>
    <xf numFmtId="0" fontId="0" fillId="2" borderId="47" xfId="0" applyFill="1" applyBorder="1" applyAlignment="1">
      <alignment horizontal="left" wrapText="1" indent="6"/>
    </xf>
    <xf numFmtId="0" fontId="0" fillId="2" borderId="48" xfId="0" applyFill="1" applyBorder="1" applyAlignment="1">
      <alignment horizontal="left" wrapText="1" indent="6"/>
    </xf>
    <xf numFmtId="0" fontId="3" fillId="2" borderId="139" xfId="0" applyFont="1" applyFill="1" applyBorder="1" applyAlignment="1">
      <alignment horizontal="left" wrapText="1" indent="6"/>
    </xf>
    <xf numFmtId="0" fontId="0" fillId="2" borderId="129" xfId="0" applyFill="1" applyBorder="1" applyAlignment="1">
      <alignment horizontal="left" wrapText="1" indent="6"/>
    </xf>
    <xf numFmtId="0" fontId="3" fillId="2" borderId="134" xfId="0" applyFont="1" applyFill="1" applyBorder="1" applyAlignment="1">
      <alignment horizontal="center" vertical="center" wrapText="1"/>
    </xf>
    <xf numFmtId="0" fontId="3" fillId="2" borderId="135" xfId="0" applyFont="1" applyFill="1" applyBorder="1" applyAlignment="1">
      <alignment horizontal="center" vertical="center" wrapText="1"/>
    </xf>
    <xf numFmtId="0" fontId="20" fillId="2" borderId="21" xfId="0" applyFont="1" applyFill="1" applyBorder="1" applyAlignment="1">
      <alignment horizontal="center" vertical="center"/>
    </xf>
    <xf numFmtId="0" fontId="20" fillId="2" borderId="23" xfId="0" applyFont="1" applyFill="1" applyBorder="1" applyAlignment="1">
      <alignment horizontal="center" vertical="center"/>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xf>
    <xf numFmtId="0" fontId="10" fillId="2" borderId="114" xfId="0" applyFont="1" applyFill="1" applyBorder="1" applyAlignment="1">
      <alignment horizontal="left" vertical="center"/>
    </xf>
    <xf numFmtId="0" fontId="10" fillId="2" borderId="15" xfId="0" applyFont="1" applyFill="1" applyBorder="1" applyAlignment="1">
      <alignment horizontal="left" vertical="center"/>
    </xf>
    <xf numFmtId="0" fontId="10" fillId="2" borderId="16" xfId="0" applyFont="1" applyFill="1" applyBorder="1" applyAlignment="1">
      <alignment horizontal="left" vertical="center"/>
    </xf>
    <xf numFmtId="0" fontId="10" fillId="2" borderId="103" xfId="0" applyFont="1" applyFill="1" applyBorder="1" applyAlignment="1">
      <alignment horizontal="left" vertical="center"/>
    </xf>
    <xf numFmtId="0" fontId="3" fillId="2" borderId="139" xfId="0" applyFont="1" applyFill="1" applyBorder="1" applyAlignment="1">
      <alignment horizontal="left" wrapText="1"/>
    </xf>
    <xf numFmtId="0" fontId="3" fillId="2" borderId="47" xfId="0" applyFont="1" applyFill="1" applyBorder="1" applyAlignment="1">
      <alignment horizontal="left" wrapText="1"/>
    </xf>
    <xf numFmtId="0" fontId="20" fillId="2" borderId="21" xfId="0" applyFont="1" applyFill="1" applyBorder="1" applyAlignment="1">
      <alignment horizontal="center"/>
    </xf>
    <xf numFmtId="0" fontId="20" fillId="2" borderId="22" xfId="0" applyFont="1" applyFill="1" applyBorder="1" applyAlignment="1">
      <alignment horizontal="center"/>
    </xf>
    <xf numFmtId="0" fontId="20" fillId="2" borderId="23" xfId="0" applyFont="1" applyFill="1" applyBorder="1" applyAlignment="1">
      <alignment horizontal="center"/>
    </xf>
    <xf numFmtId="0" fontId="10" fillId="2" borderId="12" xfId="0" applyFont="1" applyFill="1" applyBorder="1" applyAlignment="1">
      <alignment horizontal="left" vertical="center"/>
    </xf>
    <xf numFmtId="0" fontId="10" fillId="2" borderId="17" xfId="0" applyFont="1" applyFill="1" applyBorder="1" applyAlignment="1">
      <alignment horizontal="left" vertical="center"/>
    </xf>
    <xf numFmtId="0" fontId="12" fillId="7" borderId="6" xfId="0" applyFont="1" applyFill="1" applyBorder="1" applyAlignment="1">
      <alignment horizontal="center"/>
    </xf>
    <xf numFmtId="0" fontId="12" fillId="7" borderId="7" xfId="0" applyFont="1" applyFill="1" applyBorder="1" applyAlignment="1">
      <alignment horizontal="center"/>
    </xf>
    <xf numFmtId="0" fontId="12" fillId="7" borderId="15" xfId="0" applyFont="1" applyFill="1" applyBorder="1" applyAlignment="1">
      <alignment horizontal="center"/>
    </xf>
    <xf numFmtId="0" fontId="12" fillId="7" borderId="17" xfId="0" applyFont="1" applyFill="1" applyBorder="1" applyAlignment="1">
      <alignment horizontal="center"/>
    </xf>
    <xf numFmtId="0" fontId="0" fillId="2" borderId="53" xfId="0" applyFill="1" applyBorder="1" applyAlignment="1">
      <alignment horizontal="left"/>
    </xf>
    <xf numFmtId="0" fontId="0" fillId="2" borderId="50" xfId="0" applyFill="1" applyBorder="1" applyAlignment="1">
      <alignment horizontal="left"/>
    </xf>
    <xf numFmtId="0" fontId="0" fillId="2" borderId="57" xfId="0" applyFill="1" applyBorder="1" applyAlignment="1">
      <alignment horizontal="left"/>
    </xf>
    <xf numFmtId="0" fontId="0" fillId="2" borderId="58" xfId="0" applyFill="1" applyBorder="1" applyAlignment="1">
      <alignment horizontal="left"/>
    </xf>
    <xf numFmtId="0" fontId="3" fillId="2" borderId="46" xfId="0" applyFont="1" applyFill="1" applyBorder="1" applyAlignment="1">
      <alignment horizontal="left"/>
    </xf>
    <xf numFmtId="0" fontId="3" fillId="2" borderId="47" xfId="0" applyFont="1" applyFill="1" applyBorder="1" applyAlignment="1">
      <alignment horizontal="left"/>
    </xf>
    <xf numFmtId="0" fontId="3" fillId="2" borderId="50" xfId="0" applyFont="1" applyFill="1" applyBorder="1" applyAlignment="1">
      <alignment horizontal="left"/>
    </xf>
    <xf numFmtId="0" fontId="3" fillId="2" borderId="37" xfId="0" applyFont="1" applyFill="1" applyBorder="1" applyAlignment="1">
      <alignment horizontal="left" wrapText="1" indent="6"/>
    </xf>
    <xf numFmtId="0" fontId="0" fillId="2" borderId="38" xfId="0" applyFill="1" applyBorder="1" applyAlignment="1">
      <alignment horizontal="left" indent="6"/>
    </xf>
    <xf numFmtId="0" fontId="0" fillId="2" borderId="39" xfId="0" applyFill="1" applyBorder="1" applyAlignment="1">
      <alignment horizontal="left" indent="6"/>
    </xf>
    <xf numFmtId="0" fontId="23" fillId="2" borderId="22" xfId="0" applyFont="1" applyFill="1" applyBorder="1" applyAlignment="1">
      <alignment horizontal="center" vertical="center"/>
    </xf>
    <xf numFmtId="0" fontId="12" fillId="2" borderId="53" xfId="0" applyFont="1" applyFill="1" applyBorder="1" applyAlignment="1">
      <alignment horizontal="left"/>
    </xf>
    <xf numFmtId="0" fontId="12" fillId="2" borderId="50" xfId="0" applyFont="1" applyFill="1" applyBorder="1" applyAlignment="1">
      <alignment horizontal="left"/>
    </xf>
    <xf numFmtId="0" fontId="3" fillId="2" borderId="57" xfId="0" applyFont="1" applyFill="1" applyBorder="1" applyAlignment="1">
      <alignment horizontal="left"/>
    </xf>
    <xf numFmtId="0" fontId="3" fillId="2" borderId="58" xfId="0" applyFont="1" applyFill="1" applyBorder="1" applyAlignment="1">
      <alignment horizontal="left"/>
    </xf>
    <xf numFmtId="0" fontId="3" fillId="2" borderId="6" xfId="0"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7" xfId="0" applyFont="1" applyFill="1" applyBorder="1" applyAlignment="1">
      <alignment horizontal="left" vertical="center" wrapText="1"/>
    </xf>
    <xf numFmtId="0" fontId="13" fillId="2" borderId="6" xfId="0" applyFont="1" applyFill="1" applyBorder="1" applyAlignment="1">
      <alignment horizontal="center"/>
    </xf>
    <xf numFmtId="0" fontId="13" fillId="2" borderId="9" xfId="0" applyFont="1" applyFill="1" applyBorder="1" applyAlignment="1">
      <alignment horizontal="center"/>
    </xf>
    <xf numFmtId="0" fontId="13" fillId="2" borderId="7" xfId="0" applyFont="1" applyFill="1" applyBorder="1" applyAlignment="1">
      <alignment horizontal="center"/>
    </xf>
    <xf numFmtId="0" fontId="3" fillId="2" borderId="8" xfId="0" applyFont="1" applyFill="1" applyBorder="1" applyAlignment="1">
      <alignment horizontal="center"/>
    </xf>
    <xf numFmtId="0" fontId="0" fillId="2" borderId="25" xfId="0" applyFill="1" applyBorder="1" applyAlignment="1" applyProtection="1">
      <alignment horizontal="center" wrapText="1"/>
      <protection hidden="1"/>
    </xf>
    <xf numFmtId="0" fontId="0" fillId="2" borderId="28" xfId="0" applyFill="1" applyBorder="1" applyAlignment="1" applyProtection="1">
      <alignment horizontal="center"/>
      <protection hidden="1"/>
    </xf>
    <xf numFmtId="0" fontId="3" fillId="2" borderId="72" xfId="0" applyFont="1" applyFill="1" applyBorder="1" applyAlignment="1" applyProtection="1">
      <alignment horizontal="center"/>
      <protection hidden="1"/>
    </xf>
    <xf numFmtId="0" fontId="3" fillId="2" borderId="73" xfId="0" applyFont="1" applyFill="1" applyBorder="1" applyAlignment="1" applyProtection="1">
      <alignment horizontal="center"/>
      <protection hidden="1"/>
    </xf>
    <xf numFmtId="0" fontId="3" fillId="2" borderId="74" xfId="0" applyFont="1" applyFill="1" applyBorder="1" applyAlignment="1" applyProtection="1">
      <alignment horizontal="center"/>
      <protection hidden="1"/>
    </xf>
    <xf numFmtId="0" fontId="3" fillId="2" borderId="58" xfId="0" applyFont="1" applyFill="1" applyBorder="1" applyAlignment="1" applyProtection="1">
      <alignment horizontal="center"/>
      <protection hidden="1"/>
    </xf>
    <xf numFmtId="0" fontId="20" fillId="2" borderId="21" xfId="0" applyFont="1" applyFill="1" applyBorder="1" applyAlignment="1" applyProtection="1">
      <alignment horizontal="center"/>
      <protection hidden="1"/>
    </xf>
    <xf numFmtId="0" fontId="20" fillId="2" borderId="22" xfId="0" applyFont="1" applyFill="1" applyBorder="1" applyAlignment="1" applyProtection="1">
      <alignment horizontal="center"/>
      <protection hidden="1"/>
    </xf>
    <xf numFmtId="0" fontId="20" fillId="2" borderId="23" xfId="0" applyFont="1" applyFill="1" applyBorder="1" applyAlignment="1" applyProtection="1">
      <alignment horizontal="center"/>
      <protection hidden="1"/>
    </xf>
    <xf numFmtId="0" fontId="12" fillId="7" borderId="8" xfId="0" applyFont="1" applyFill="1" applyBorder="1" applyAlignment="1" applyProtection="1">
      <alignment horizontal="center"/>
      <protection hidden="1"/>
    </xf>
    <xf numFmtId="0" fontId="0" fillId="7" borderId="63" xfId="0" applyFill="1" applyBorder="1" applyAlignment="1" applyProtection="1">
      <alignment horizontal="center" vertical="center"/>
      <protection hidden="1"/>
    </xf>
    <xf numFmtId="0" fontId="0" fillId="7" borderId="56" xfId="0" applyFill="1" applyBorder="1" applyAlignment="1" applyProtection="1">
      <alignment horizontal="center" vertical="center"/>
      <protection hidden="1"/>
    </xf>
    <xf numFmtId="0" fontId="0" fillId="7" borderId="60" xfId="0" applyFill="1" applyBorder="1" applyAlignment="1" applyProtection="1">
      <alignment horizontal="center" vertical="center"/>
      <protection hidden="1"/>
    </xf>
    <xf numFmtId="0" fontId="0" fillId="2" borderId="10" xfId="0" applyFill="1" applyBorder="1" applyAlignment="1" applyProtection="1">
      <alignment horizontal="left" wrapText="1"/>
      <protection hidden="1"/>
    </xf>
    <xf numFmtId="0" fontId="0" fillId="2" borderId="13" xfId="0" applyFill="1" applyBorder="1" applyAlignment="1" applyProtection="1">
      <alignment horizontal="left" wrapText="1"/>
      <protection hidden="1"/>
    </xf>
    <xf numFmtId="0" fontId="25" fillId="16" borderId="11" xfId="1" applyFill="1" applyBorder="1" applyAlignment="1" applyProtection="1">
      <alignment horizontal="center" wrapText="1"/>
      <protection hidden="1"/>
    </xf>
    <xf numFmtId="0" fontId="25" fillId="16" borderId="62" xfId="1" applyFill="1" applyBorder="1" applyAlignment="1" applyProtection="1">
      <alignment horizontal="center" wrapText="1"/>
      <protection hidden="1"/>
    </xf>
    <xf numFmtId="0" fontId="53" fillId="2" borderId="1" xfId="3" applyFont="1" applyFill="1" applyBorder="1" applyAlignment="1" applyProtection="1">
      <alignment horizontal="center"/>
      <protection hidden="1"/>
    </xf>
    <xf numFmtId="0" fontId="53" fillId="2" borderId="2" xfId="3" applyFont="1" applyFill="1" applyBorder="1" applyAlignment="1" applyProtection="1">
      <alignment horizontal="center"/>
      <protection hidden="1"/>
    </xf>
    <xf numFmtId="0" fontId="53" fillId="2" borderId="3" xfId="3" applyFont="1" applyFill="1" applyBorder="1" applyAlignment="1" applyProtection="1">
      <alignment horizontal="center"/>
      <protection hidden="1"/>
    </xf>
    <xf numFmtId="0" fontId="3" fillId="2" borderId="13" xfId="3" applyFont="1" applyFill="1" applyBorder="1" applyAlignment="1" applyProtection="1">
      <alignment horizontal="center" vertical="top" wrapText="1"/>
      <protection hidden="1"/>
    </xf>
    <xf numFmtId="0" fontId="3" fillId="2" borderId="0" xfId="3" applyFont="1" applyFill="1" applyBorder="1" applyAlignment="1" applyProtection="1">
      <alignment horizontal="center" vertical="top" wrapText="1"/>
      <protection hidden="1"/>
    </xf>
    <xf numFmtId="0" fontId="33" fillId="2" borderId="4" xfId="3" applyFont="1" applyFill="1" applyBorder="1" applyAlignment="1" applyProtection="1">
      <alignment horizontal="left" vertical="center" wrapText="1"/>
      <protection hidden="1"/>
    </xf>
    <xf numFmtId="0" fontId="33" fillId="2" borderId="0" xfId="3" applyFont="1" applyFill="1" applyBorder="1" applyAlignment="1" applyProtection="1">
      <alignment horizontal="left" vertical="center" wrapText="1"/>
      <protection hidden="1"/>
    </xf>
    <xf numFmtId="0" fontId="3" fillId="2" borderId="11" xfId="3" applyFont="1" applyFill="1" applyBorder="1" applyAlignment="1" applyProtection="1">
      <alignment horizontal="right" vertical="center"/>
      <protection hidden="1"/>
    </xf>
    <xf numFmtId="0" fontId="3" fillId="2" borderId="16" xfId="3" applyFont="1" applyFill="1" applyBorder="1" applyAlignment="1" applyProtection="1">
      <alignment horizontal="right" vertical="center"/>
      <protection hidden="1"/>
    </xf>
    <xf numFmtId="0" fontId="3" fillId="7" borderId="11" xfId="3" applyFont="1" applyFill="1" applyBorder="1" applyAlignment="1" applyProtection="1">
      <alignment horizontal="left" vertical="center" wrapText="1"/>
      <protection hidden="1"/>
    </xf>
    <xf numFmtId="0" fontId="3" fillId="7" borderId="16" xfId="3" applyFont="1" applyFill="1" applyBorder="1" applyAlignment="1" applyProtection="1">
      <alignment horizontal="left" vertical="center" wrapText="1"/>
      <protection hidden="1"/>
    </xf>
    <xf numFmtId="0" fontId="3" fillId="7" borderId="12" xfId="3" applyFont="1" applyFill="1" applyBorder="1" applyAlignment="1" applyProtection="1">
      <alignment horizontal="left" vertical="center" wrapText="1"/>
      <protection hidden="1"/>
    </xf>
    <xf numFmtId="0" fontId="3" fillId="7" borderId="17" xfId="3" applyFont="1" applyFill="1" applyBorder="1" applyAlignment="1" applyProtection="1">
      <alignment horizontal="left" vertical="center" wrapText="1"/>
      <protection hidden="1"/>
    </xf>
    <xf numFmtId="0" fontId="3" fillId="2" borderId="118" xfId="3" applyFont="1" applyFill="1" applyBorder="1" applyAlignment="1" applyProtection="1">
      <alignment horizontal="center" vertical="top" wrapText="1"/>
      <protection hidden="1"/>
    </xf>
    <xf numFmtId="0" fontId="3" fillId="2" borderId="119" xfId="3" applyFont="1" applyFill="1" applyBorder="1" applyAlignment="1" applyProtection="1">
      <alignment horizontal="center" vertical="top" wrapText="1"/>
      <protection hidden="1"/>
    </xf>
    <xf numFmtId="0" fontId="3" fillId="2" borderId="117" xfId="3" applyFont="1" applyFill="1" applyBorder="1" applyAlignment="1" applyProtection="1">
      <alignment horizontal="center" vertical="top" wrapText="1"/>
      <protection hidden="1"/>
    </xf>
    <xf numFmtId="0" fontId="3" fillId="2" borderId="67" xfId="3" applyFont="1" applyFill="1" applyBorder="1" applyAlignment="1" applyProtection="1">
      <alignment horizontal="left" vertical="top" wrapText="1"/>
      <protection hidden="1"/>
    </xf>
    <xf numFmtId="0" fontId="12" fillId="2" borderId="65" xfId="3" applyFont="1" applyFill="1" applyBorder="1" applyAlignment="1" applyProtection="1">
      <alignment horizontal="left" vertical="top" wrapText="1"/>
      <protection hidden="1"/>
    </xf>
    <xf numFmtId="0" fontId="12" fillId="2" borderId="35" xfId="3" applyFont="1" applyFill="1" applyBorder="1" applyAlignment="1" applyProtection="1">
      <alignment horizontal="left" vertical="top" wrapText="1"/>
      <protection hidden="1"/>
    </xf>
    <xf numFmtId="0" fontId="3" fillId="7" borderId="67" xfId="3" applyFont="1" applyFill="1" applyBorder="1" applyAlignment="1" applyProtection="1">
      <alignment horizontal="center" vertical="top"/>
      <protection hidden="1"/>
    </xf>
    <xf numFmtId="0" fontId="3" fillId="7" borderId="65" xfId="3" applyFont="1" applyFill="1" applyBorder="1" applyAlignment="1" applyProtection="1">
      <alignment horizontal="center" vertical="top"/>
      <protection hidden="1"/>
    </xf>
    <xf numFmtId="0" fontId="3" fillId="7" borderId="35" xfId="3" applyFont="1" applyFill="1" applyBorder="1" applyAlignment="1" applyProtection="1">
      <alignment horizontal="center" vertical="top"/>
      <protection hidden="1"/>
    </xf>
    <xf numFmtId="2" fontId="12" fillId="2" borderId="67" xfId="3" applyNumberFormat="1" applyFont="1" applyFill="1" applyBorder="1" applyAlignment="1" applyProtection="1">
      <alignment horizontal="left" vertical="top" wrapText="1"/>
      <protection hidden="1"/>
    </xf>
    <xf numFmtId="2" fontId="12" fillId="2" borderId="65" xfId="3" applyNumberFormat="1" applyFont="1" applyFill="1" applyBorder="1" applyAlignment="1" applyProtection="1">
      <alignment horizontal="left" vertical="top" wrapText="1"/>
      <protection hidden="1"/>
    </xf>
    <xf numFmtId="2" fontId="12" fillId="2" borderId="35" xfId="3" applyNumberFormat="1" applyFont="1" applyFill="1" applyBorder="1" applyAlignment="1" applyProtection="1">
      <alignment horizontal="left" vertical="top" wrapText="1"/>
      <protection hidden="1"/>
    </xf>
    <xf numFmtId="0" fontId="3" fillId="2" borderId="118" xfId="3" applyFont="1" applyFill="1" applyBorder="1" applyAlignment="1" applyProtection="1">
      <alignment horizontal="right" vertical="top" wrapText="1"/>
      <protection hidden="1"/>
    </xf>
    <xf numFmtId="0" fontId="3" fillId="2" borderId="119" xfId="3" applyFont="1" applyFill="1" applyBorder="1" applyAlignment="1" applyProtection="1">
      <alignment horizontal="right" vertical="top" wrapText="1"/>
      <protection hidden="1"/>
    </xf>
    <xf numFmtId="0" fontId="12" fillId="2" borderId="67" xfId="3" applyFont="1" applyFill="1" applyBorder="1" applyAlignment="1" applyProtection="1">
      <alignment horizontal="left" vertical="top" wrapText="1"/>
      <protection hidden="1"/>
    </xf>
    <xf numFmtId="0" fontId="3" fillId="2" borderId="67" xfId="3" applyFont="1" applyFill="1" applyBorder="1" applyAlignment="1" applyProtection="1">
      <alignment horizontal="center" vertical="top"/>
      <protection hidden="1"/>
    </xf>
    <xf numFmtId="0" fontId="3" fillId="2" borderId="65" xfId="3" applyFont="1" applyFill="1" applyBorder="1" applyAlignment="1" applyProtection="1">
      <alignment horizontal="center" vertical="top"/>
      <protection hidden="1"/>
    </xf>
    <xf numFmtId="2" fontId="12" fillId="2" borderId="65" xfId="3" applyNumberFormat="1" applyFont="1" applyFill="1" applyBorder="1" applyAlignment="1" applyProtection="1">
      <alignment horizontal="center" vertical="top" wrapText="1"/>
      <protection hidden="1"/>
    </xf>
    <xf numFmtId="2" fontId="12" fillId="2" borderId="35" xfId="3" applyNumberFormat="1" applyFont="1" applyFill="1" applyBorder="1" applyAlignment="1" applyProtection="1">
      <alignment horizontal="center" vertical="top" wrapText="1"/>
      <protection hidden="1"/>
    </xf>
    <xf numFmtId="0" fontId="12" fillId="2" borderId="106" xfId="3" applyFont="1" applyFill="1" applyBorder="1" applyAlignment="1" applyProtection="1">
      <alignment horizontal="center" vertical="top" wrapText="1"/>
      <protection hidden="1"/>
    </xf>
    <xf numFmtId="0" fontId="12" fillId="2" borderId="9" xfId="3" applyFont="1" applyFill="1" applyBorder="1" applyAlignment="1" applyProtection="1">
      <alignment horizontal="center" vertical="top" wrapText="1"/>
      <protection hidden="1"/>
    </xf>
    <xf numFmtId="0" fontId="12" fillId="2" borderId="7" xfId="3" applyFont="1" applyFill="1" applyBorder="1" applyAlignment="1" applyProtection="1">
      <alignment horizontal="center" vertical="top" wrapText="1"/>
      <protection hidden="1"/>
    </xf>
    <xf numFmtId="2" fontId="12" fillId="2" borderId="67" xfId="3" applyNumberFormat="1" applyFont="1" applyFill="1" applyBorder="1" applyAlignment="1" applyProtection="1">
      <alignment horizontal="center" vertical="top" wrapText="1"/>
      <protection hidden="1"/>
    </xf>
    <xf numFmtId="0" fontId="12" fillId="0" borderId="53" xfId="3" applyFont="1" applyBorder="1" applyAlignment="1" applyProtection="1">
      <alignment horizontal="left" vertical="top" wrapText="1"/>
      <protection locked="0"/>
    </xf>
    <xf numFmtId="0" fontId="12" fillId="0" borderId="47" xfId="3" applyFont="1" applyBorder="1" applyAlignment="1" applyProtection="1">
      <alignment horizontal="left" vertical="top" wrapText="1"/>
      <protection locked="0"/>
    </xf>
    <xf numFmtId="0" fontId="3" fillId="2" borderId="113" xfId="3" applyFont="1" applyFill="1" applyBorder="1" applyAlignment="1" applyProtection="1">
      <alignment horizontal="left" vertical="top"/>
      <protection hidden="1"/>
    </xf>
    <xf numFmtId="0" fontId="3" fillId="2" borderId="11" xfId="3" applyFont="1" applyFill="1" applyBorder="1" applyAlignment="1" applyProtection="1">
      <alignment horizontal="left" vertical="top"/>
      <protection hidden="1"/>
    </xf>
    <xf numFmtId="0" fontId="3" fillId="2" borderId="65" xfId="3" applyFont="1" applyFill="1" applyBorder="1" applyAlignment="1" applyProtection="1">
      <alignment horizontal="left" vertical="top" wrapText="1"/>
      <protection hidden="1"/>
    </xf>
    <xf numFmtId="9" fontId="12" fillId="7" borderId="6" xfId="2" applyFont="1" applyFill="1" applyBorder="1" applyAlignment="1" applyProtection="1">
      <alignment vertical="top" wrapText="1"/>
      <protection hidden="1"/>
    </xf>
    <xf numFmtId="9" fontId="0" fillId="7" borderId="9" xfId="2" applyFont="1" applyFill="1" applyBorder="1" applyAlignment="1">
      <alignment vertical="top" wrapText="1"/>
    </xf>
    <xf numFmtId="0" fontId="3" fillId="8" borderId="75" xfId="3" applyFont="1" applyFill="1" applyBorder="1" applyAlignment="1" applyProtection="1">
      <alignment horizontal="center" vertical="center" wrapText="1"/>
      <protection hidden="1"/>
    </xf>
    <xf numFmtId="0" fontId="34" fillId="0" borderId="0" xfId="0" applyFont="1" applyBorder="1" applyAlignment="1">
      <alignment horizontal="center" vertical="center"/>
    </xf>
    <xf numFmtId="0" fontId="34" fillId="0" borderId="55" xfId="0" applyFont="1" applyBorder="1" applyAlignment="1">
      <alignment horizontal="center" vertical="center"/>
    </xf>
    <xf numFmtId="0" fontId="32" fillId="2" borderId="84" xfId="3" applyFont="1" applyFill="1" applyBorder="1" applyAlignment="1" applyProtection="1">
      <alignment horizontal="left" vertical="top" wrapText="1" indent="1"/>
      <protection hidden="1"/>
    </xf>
    <xf numFmtId="0" fontId="32" fillId="2" borderId="86" xfId="3" applyFont="1" applyFill="1" applyBorder="1" applyAlignment="1" applyProtection="1">
      <alignment horizontal="left" vertical="top" wrapText="1" indent="1"/>
      <protection hidden="1"/>
    </xf>
    <xf numFmtId="0" fontId="32" fillId="2" borderId="85" xfId="3" applyFont="1" applyFill="1" applyBorder="1" applyAlignment="1" applyProtection="1">
      <alignment horizontal="left" vertical="top" wrapText="1" indent="1"/>
      <protection hidden="1"/>
    </xf>
    <xf numFmtId="9" fontId="3" fillId="7" borderId="31" xfId="2" applyFont="1" applyFill="1" applyBorder="1" applyAlignment="1" applyProtection="1">
      <alignment horizontal="center" vertical="top" wrapText="1"/>
      <protection hidden="1"/>
    </xf>
    <xf numFmtId="9" fontId="3" fillId="7" borderId="59" xfId="2" applyFont="1" applyFill="1" applyBorder="1" applyAlignment="1" applyProtection="1">
      <alignment horizontal="center" vertical="top" wrapText="1"/>
      <protection hidden="1"/>
    </xf>
    <xf numFmtId="0" fontId="41" fillId="2" borderId="82" xfId="3" applyFont="1" applyFill="1" applyBorder="1" applyAlignment="1" applyProtection="1">
      <alignment horizontal="left" vertical="top" wrapText="1"/>
      <protection hidden="1"/>
    </xf>
    <xf numFmtId="0" fontId="41" fillId="2" borderId="83" xfId="3" applyFont="1" applyFill="1" applyBorder="1" applyAlignment="1" applyProtection="1">
      <alignment horizontal="left" vertical="top" wrapText="1"/>
      <protection hidden="1"/>
    </xf>
    <xf numFmtId="0" fontId="13" fillId="2" borderId="9" xfId="3" applyFont="1" applyFill="1" applyBorder="1" applyAlignment="1" applyProtection="1">
      <alignment horizontal="left" vertical="top" wrapText="1"/>
      <protection hidden="1"/>
    </xf>
    <xf numFmtId="0" fontId="31" fillId="2" borderId="79" xfId="3" applyFont="1" applyFill="1" applyBorder="1" applyAlignment="1" applyProtection="1">
      <alignment horizontal="left" vertical="top" wrapText="1"/>
      <protection hidden="1"/>
    </xf>
    <xf numFmtId="0" fontId="31" fillId="2" borderId="11" xfId="3" applyFont="1" applyFill="1" applyBorder="1" applyAlignment="1" applyProtection="1">
      <alignment horizontal="left" vertical="top" wrapText="1"/>
      <protection hidden="1"/>
    </xf>
    <xf numFmtId="0" fontId="31" fillId="2" borderId="61" xfId="3" applyFont="1" applyFill="1" applyBorder="1" applyAlignment="1" applyProtection="1">
      <alignment horizontal="left" vertical="top" wrapText="1"/>
      <protection hidden="1"/>
    </xf>
    <xf numFmtId="0" fontId="12" fillId="0" borderId="50" xfId="3" applyFont="1" applyBorder="1" applyAlignment="1" applyProtection="1">
      <alignment horizontal="left" vertical="top" wrapText="1"/>
      <protection locked="0"/>
    </xf>
    <xf numFmtId="0" fontId="12" fillId="6" borderId="53" xfId="3" applyFont="1" applyFill="1" applyBorder="1" applyAlignment="1" applyProtection="1">
      <alignment horizontal="left" vertical="top" wrapText="1"/>
      <protection locked="0"/>
    </xf>
    <xf numFmtId="0" fontId="12" fillId="6" borderId="50" xfId="3" applyFont="1" applyFill="1" applyBorder="1" applyAlignment="1" applyProtection="1">
      <alignment horizontal="left" vertical="top" wrapText="1"/>
      <protection locked="0"/>
    </xf>
    <xf numFmtId="9" fontId="12" fillId="7" borderId="57" xfId="2" applyFont="1" applyFill="1" applyBorder="1" applyAlignment="1" applyProtection="1">
      <alignment vertical="top" wrapText="1"/>
      <protection hidden="1"/>
    </xf>
    <xf numFmtId="9" fontId="0" fillId="7" borderId="58" xfId="2" applyFont="1" applyFill="1" applyBorder="1" applyAlignment="1">
      <alignment vertical="top" wrapText="1"/>
    </xf>
    <xf numFmtId="0" fontId="3" fillId="8" borderId="9" xfId="3" applyFont="1" applyFill="1" applyBorder="1" applyAlignment="1" applyProtection="1">
      <alignment horizontal="left" vertical="top" wrapText="1"/>
      <protection hidden="1"/>
    </xf>
    <xf numFmtId="0" fontId="0" fillId="8" borderId="9" xfId="0" applyFill="1" applyBorder="1" applyAlignment="1">
      <alignment horizontal="left" vertical="top" wrapText="1"/>
    </xf>
    <xf numFmtId="0" fontId="13" fillId="2" borderId="13" xfId="3" applyFont="1" applyFill="1" applyBorder="1" applyAlignment="1" applyProtection="1">
      <alignment horizontal="left" vertical="top" wrapText="1" indent="4"/>
      <protection hidden="1"/>
    </xf>
    <xf numFmtId="0" fontId="13" fillId="2" borderId="0" xfId="3" applyFont="1" applyFill="1" applyBorder="1" applyAlignment="1" applyProtection="1">
      <alignment horizontal="left" vertical="top" wrapText="1" indent="4"/>
      <protection hidden="1"/>
    </xf>
    <xf numFmtId="9" fontId="12" fillId="7" borderId="31" xfId="2" applyFont="1" applyFill="1" applyBorder="1" applyAlignment="1" applyProtection="1">
      <alignment horizontal="center" vertical="top" wrapText="1"/>
      <protection hidden="1"/>
    </xf>
    <xf numFmtId="9" fontId="12" fillId="7" borderId="59" xfId="2" applyFont="1" applyFill="1" applyBorder="1" applyAlignment="1" applyProtection="1">
      <alignment horizontal="center" vertical="top" wrapText="1"/>
      <protection hidden="1"/>
    </xf>
    <xf numFmtId="0" fontId="3" fillId="2" borderId="106" xfId="3" applyFont="1" applyFill="1" applyBorder="1" applyAlignment="1" applyProtection="1">
      <alignment horizontal="left" vertical="top" wrapText="1"/>
      <protection hidden="1"/>
    </xf>
    <xf numFmtId="0" fontId="3" fillId="2" borderId="9" xfId="3" applyFont="1" applyFill="1" applyBorder="1" applyAlignment="1" applyProtection="1">
      <alignment horizontal="left" vertical="top" wrapText="1"/>
      <protection hidden="1"/>
    </xf>
    <xf numFmtId="0" fontId="13" fillId="2" borderId="10" xfId="3" applyFont="1" applyFill="1" applyBorder="1" applyAlignment="1" applyProtection="1">
      <alignment horizontal="left" vertical="top" wrapText="1"/>
      <protection hidden="1"/>
    </xf>
    <xf numFmtId="0" fontId="13" fillId="2" borderId="11" xfId="3" applyFont="1" applyFill="1" applyBorder="1" applyAlignment="1" applyProtection="1">
      <alignment horizontal="left" vertical="top" wrapText="1"/>
      <protection hidden="1"/>
    </xf>
    <xf numFmtId="0" fontId="13" fillId="2" borderId="13" xfId="3" applyFont="1" applyFill="1" applyBorder="1" applyAlignment="1" applyProtection="1">
      <alignment horizontal="left" vertical="top" wrapText="1" indent="2"/>
      <protection hidden="1"/>
    </xf>
    <xf numFmtId="0" fontId="13" fillId="2" borderId="0" xfId="3" applyFont="1" applyFill="1" applyBorder="1" applyAlignment="1" applyProtection="1">
      <alignment horizontal="left" vertical="top" wrapText="1" indent="2"/>
      <protection hidden="1"/>
    </xf>
    <xf numFmtId="0" fontId="12" fillId="0" borderId="79" xfId="3" applyFont="1" applyBorder="1" applyAlignment="1" applyProtection="1">
      <alignment horizontal="left" vertical="top" wrapText="1"/>
      <protection locked="0"/>
    </xf>
    <xf numFmtId="0" fontId="12" fillId="0" borderId="73" xfId="3" applyFont="1" applyBorder="1" applyAlignment="1" applyProtection="1">
      <alignment horizontal="left" vertical="top" wrapText="1"/>
      <protection locked="0"/>
    </xf>
    <xf numFmtId="0" fontId="12" fillId="0" borderId="89" xfId="3" applyFont="1" applyBorder="1" applyAlignment="1" applyProtection="1">
      <alignment horizontal="left" vertical="top" wrapText="1"/>
      <protection locked="0"/>
    </xf>
    <xf numFmtId="0" fontId="12" fillId="0" borderId="32" xfId="3" applyFont="1" applyBorder="1" applyAlignment="1" applyProtection="1">
      <alignment horizontal="left" vertical="top" wrapText="1"/>
      <protection locked="0"/>
    </xf>
    <xf numFmtId="0" fontId="3" fillId="2" borderId="77" xfId="3" applyFont="1" applyFill="1" applyBorder="1" applyAlignment="1" applyProtection="1">
      <alignment horizontal="center" vertical="top" wrapText="1"/>
      <protection hidden="1"/>
    </xf>
    <xf numFmtId="0" fontId="3" fillId="2" borderId="78" xfId="3" applyFont="1" applyFill="1" applyBorder="1" applyAlignment="1" applyProtection="1">
      <alignment horizontal="center" vertical="top" wrapText="1"/>
      <protection hidden="1"/>
    </xf>
    <xf numFmtId="0" fontId="12" fillId="9" borderId="79" xfId="3" applyFont="1" applyFill="1" applyBorder="1" applyAlignment="1" applyProtection="1">
      <alignment horizontal="left" vertical="top" wrapText="1"/>
      <protection locked="0"/>
    </xf>
    <xf numFmtId="0" fontId="12" fillId="9" borderId="73" xfId="3" applyFont="1" applyFill="1" applyBorder="1" applyAlignment="1" applyProtection="1">
      <alignment horizontal="left" vertical="top" wrapText="1"/>
      <protection locked="0"/>
    </xf>
    <xf numFmtId="0" fontId="12" fillId="0" borderId="69" xfId="3" applyFont="1" applyBorder="1" applyAlignment="1" applyProtection="1">
      <alignment horizontal="left" vertical="top" wrapText="1"/>
      <protection locked="0" hidden="1"/>
    </xf>
    <xf numFmtId="0" fontId="12" fillId="0" borderId="142" xfId="3" applyFont="1" applyBorder="1" applyAlignment="1" applyProtection="1">
      <alignment horizontal="left" vertical="top" wrapText="1"/>
      <protection locked="0" hidden="1"/>
    </xf>
    <xf numFmtId="165" fontId="3" fillId="7" borderId="31" xfId="2" applyNumberFormat="1" applyFont="1" applyFill="1" applyBorder="1" applyAlignment="1" applyProtection="1">
      <alignment horizontal="center" vertical="top"/>
      <protection hidden="1"/>
    </xf>
    <xf numFmtId="165" fontId="3" fillId="7" borderId="59" xfId="2" applyNumberFormat="1" applyFont="1" applyFill="1" applyBorder="1" applyAlignment="1" applyProtection="1">
      <alignment horizontal="center" vertical="top"/>
      <protection hidden="1"/>
    </xf>
    <xf numFmtId="0" fontId="13" fillId="2" borderId="16" xfId="3" applyFont="1" applyFill="1" applyBorder="1" applyAlignment="1" applyProtection="1">
      <alignment horizontal="left" vertical="top" wrapText="1" indent="2"/>
      <protection hidden="1"/>
    </xf>
    <xf numFmtId="0" fontId="3" fillId="4" borderId="80" xfId="3" applyFont="1" applyFill="1" applyBorder="1" applyAlignment="1" applyProtection="1">
      <alignment horizontal="center" vertical="top"/>
      <protection locked="0" hidden="1"/>
    </xf>
    <xf numFmtId="0" fontId="3" fillId="4" borderId="35" xfId="3" applyFont="1" applyFill="1" applyBorder="1" applyAlignment="1" applyProtection="1">
      <alignment horizontal="center" vertical="top"/>
      <protection locked="0" hidden="1"/>
    </xf>
    <xf numFmtId="164" fontId="12" fillId="2" borderId="80" xfId="3" applyNumberFormat="1" applyFont="1" applyFill="1" applyBorder="1" applyAlignment="1" applyProtection="1">
      <alignment horizontal="right" vertical="top" wrapText="1"/>
      <protection hidden="1"/>
    </xf>
    <xf numFmtId="164" fontId="12" fillId="2" borderId="35" xfId="3" applyNumberFormat="1" applyFont="1" applyFill="1" applyBorder="1" applyAlignment="1" applyProtection="1">
      <alignment horizontal="right" vertical="top" wrapText="1"/>
      <protection hidden="1"/>
    </xf>
    <xf numFmtId="164" fontId="12" fillId="7" borderId="80" xfId="3" applyNumberFormat="1" applyFont="1" applyFill="1" applyBorder="1" applyAlignment="1" applyProtection="1">
      <alignment horizontal="right" vertical="top" wrapText="1"/>
      <protection hidden="1"/>
    </xf>
    <xf numFmtId="164" fontId="12" fillId="7" borderId="35" xfId="3" applyNumberFormat="1" applyFont="1" applyFill="1" applyBorder="1" applyAlignment="1" applyProtection="1">
      <alignment horizontal="right" vertical="top" wrapText="1"/>
      <protection hidden="1"/>
    </xf>
    <xf numFmtId="0" fontId="12" fillId="0" borderId="79" xfId="3" applyFont="1" applyBorder="1" applyAlignment="1" applyProtection="1">
      <alignment horizontal="center" vertical="top" wrapText="1"/>
      <protection locked="0" hidden="1"/>
    </xf>
    <xf numFmtId="0" fontId="12" fillId="0" borderId="73" xfId="3" applyFont="1" applyBorder="1" applyAlignment="1" applyProtection="1">
      <alignment horizontal="center" vertical="top" wrapText="1"/>
      <protection locked="0" hidden="1"/>
    </xf>
    <xf numFmtId="0" fontId="12" fillId="0" borderId="53" xfId="3" applyFont="1" applyBorder="1" applyAlignment="1" applyProtection="1">
      <alignment horizontal="center" vertical="top" wrapText="1"/>
      <protection locked="0" hidden="1"/>
    </xf>
    <xf numFmtId="0" fontId="12" fillId="0" borderId="50" xfId="3" applyFont="1" applyBorder="1" applyAlignment="1" applyProtection="1">
      <alignment horizontal="center" vertical="top" wrapText="1"/>
      <protection locked="0" hidden="1"/>
    </xf>
    <xf numFmtId="0" fontId="12" fillId="0" borderId="53" xfId="3" applyFont="1" applyBorder="1" applyAlignment="1" applyProtection="1">
      <alignment horizontal="center" vertical="top" wrapText="1"/>
      <protection locked="0"/>
    </xf>
    <xf numFmtId="0" fontId="12" fillId="0" borderId="50" xfId="3" applyFont="1" applyBorder="1" applyAlignment="1" applyProtection="1">
      <alignment horizontal="center" vertical="top" wrapText="1"/>
      <protection locked="0"/>
    </xf>
    <xf numFmtId="0" fontId="12" fillId="2" borderId="53" xfId="3" applyFont="1" applyFill="1" applyBorder="1" applyAlignment="1" applyProtection="1">
      <alignment horizontal="center" vertical="top" wrapText="1"/>
      <protection hidden="1"/>
    </xf>
    <xf numFmtId="0" fontId="12" fillId="2" borderId="50" xfId="3" applyFont="1" applyFill="1" applyBorder="1" applyAlignment="1" applyProtection="1">
      <alignment horizontal="center" vertical="top" wrapText="1"/>
      <protection hidden="1"/>
    </xf>
    <xf numFmtId="0" fontId="3" fillId="2" borderId="113" xfId="0" applyFont="1" applyFill="1" applyBorder="1" applyAlignment="1" applyProtection="1">
      <alignment horizontal="left" vertical="top"/>
      <protection hidden="1"/>
    </xf>
    <xf numFmtId="0" fontId="3" fillId="2" borderId="12" xfId="0" applyFont="1" applyFill="1" applyBorder="1" applyAlignment="1" applyProtection="1">
      <alignment horizontal="left" vertical="top"/>
      <protection hidden="1"/>
    </xf>
    <xf numFmtId="0" fontId="3" fillId="10" borderId="6" xfId="0" applyFont="1" applyFill="1" applyBorder="1" applyAlignment="1" applyProtection="1">
      <alignment horizontal="center" vertical="center" wrapText="1"/>
      <protection hidden="1"/>
    </xf>
    <xf numFmtId="0" fontId="3" fillId="10" borderId="9" xfId="0" applyFont="1" applyFill="1" applyBorder="1" applyAlignment="1" applyProtection="1">
      <alignment horizontal="center" vertical="center" wrapText="1"/>
      <protection hidden="1"/>
    </xf>
    <xf numFmtId="0" fontId="0" fillId="2" borderId="6" xfId="0" applyFill="1" applyBorder="1" applyAlignment="1" applyProtection="1">
      <alignment horizontal="center"/>
      <protection hidden="1"/>
    </xf>
    <xf numFmtId="0" fontId="0" fillId="2" borderId="7" xfId="0" applyFill="1" applyBorder="1" applyAlignment="1" applyProtection="1">
      <alignment horizontal="center"/>
      <protection hidden="1"/>
    </xf>
    <xf numFmtId="0" fontId="3" fillId="2" borderId="134" xfId="0" applyFont="1" applyFill="1" applyBorder="1" applyAlignment="1" applyProtection="1">
      <alignment horizontal="left" vertical="center" wrapText="1"/>
      <protection hidden="1"/>
    </xf>
    <xf numFmtId="0" fontId="3" fillId="2" borderId="135" xfId="0" applyFont="1" applyFill="1" applyBorder="1" applyAlignment="1" applyProtection="1">
      <alignment horizontal="left" vertical="center" wrapText="1"/>
      <protection hidden="1"/>
    </xf>
    <xf numFmtId="0" fontId="3" fillId="2" borderId="78" xfId="0" applyFont="1" applyFill="1" applyBorder="1" applyAlignment="1" applyProtection="1">
      <alignment horizontal="left" vertical="center" wrapText="1"/>
      <protection hidden="1"/>
    </xf>
    <xf numFmtId="0" fontId="3" fillId="2" borderId="4" xfId="0" applyFont="1" applyFill="1" applyBorder="1" applyAlignment="1" applyProtection="1">
      <alignment horizontal="left" vertical="top"/>
      <protection hidden="1"/>
    </xf>
    <xf numFmtId="0" fontId="3" fillId="2" borderId="14" xfId="0" applyFont="1" applyFill="1" applyBorder="1" applyAlignment="1" applyProtection="1">
      <alignment horizontal="left" vertical="top"/>
      <protection hidden="1"/>
    </xf>
    <xf numFmtId="0" fontId="3" fillId="2" borderId="102" xfId="0" applyFont="1" applyFill="1" applyBorder="1" applyAlignment="1" applyProtection="1">
      <alignment horizontal="left" vertical="top"/>
      <protection hidden="1"/>
    </xf>
    <xf numFmtId="0" fontId="3" fillId="2" borderId="17" xfId="0" applyFont="1" applyFill="1" applyBorder="1" applyAlignment="1" applyProtection="1">
      <alignment horizontal="left" vertical="top"/>
      <protection hidden="1"/>
    </xf>
    <xf numFmtId="0" fontId="3" fillId="2" borderId="120" xfId="0" applyFont="1" applyFill="1" applyBorder="1" applyAlignment="1" applyProtection="1">
      <alignment horizontal="left" vertical="top"/>
      <protection hidden="1"/>
    </xf>
    <xf numFmtId="0" fontId="3" fillId="2" borderId="24" xfId="0" applyFont="1" applyFill="1" applyBorder="1" applyAlignment="1" applyProtection="1">
      <alignment horizontal="left" vertical="top"/>
      <protection hidden="1"/>
    </xf>
    <xf numFmtId="0" fontId="0" fillId="2" borderId="25" xfId="0" applyFill="1" applyBorder="1" applyAlignment="1" applyProtection="1">
      <alignment horizontal="center"/>
      <protection hidden="1"/>
    </xf>
    <xf numFmtId="0" fontId="0" fillId="2" borderId="27" xfId="0" applyFill="1" applyBorder="1" applyAlignment="1" applyProtection="1">
      <alignment horizontal="center"/>
      <protection hidden="1"/>
    </xf>
    <xf numFmtId="0" fontId="3" fillId="11" borderId="6" xfId="0" applyFont="1" applyFill="1" applyBorder="1" applyAlignment="1" applyProtection="1">
      <alignment horizontal="center" vertical="center" wrapText="1"/>
      <protection hidden="1"/>
    </xf>
    <xf numFmtId="0" fontId="3" fillId="11" borderId="7" xfId="0" applyFont="1" applyFill="1" applyBorder="1" applyAlignment="1" applyProtection="1">
      <alignment horizontal="center" vertical="center" wrapText="1"/>
      <protection hidden="1"/>
    </xf>
    <xf numFmtId="0" fontId="3" fillId="2" borderId="106" xfId="0" applyFont="1" applyFill="1" applyBorder="1" applyAlignment="1" applyProtection="1">
      <alignment horizontal="center"/>
      <protection hidden="1"/>
    </xf>
    <xf numFmtId="0" fontId="3" fillId="2" borderId="7" xfId="0" applyFont="1" applyFill="1" applyBorder="1" applyAlignment="1" applyProtection="1">
      <alignment horizontal="center"/>
      <protection hidden="1"/>
    </xf>
    <xf numFmtId="0" fontId="12" fillId="7" borderId="137" xfId="0" applyFont="1" applyFill="1" applyBorder="1" applyAlignment="1" applyProtection="1">
      <alignment horizontal="center"/>
      <protection hidden="1"/>
    </xf>
    <xf numFmtId="0" fontId="3" fillId="2" borderId="106" xfId="0" applyFont="1" applyFill="1" applyBorder="1" applyAlignment="1" applyProtection="1">
      <alignment horizontal="left"/>
      <protection hidden="1"/>
    </xf>
    <xf numFmtId="0" fontId="3" fillId="2" borderId="7" xfId="0" applyFont="1" applyFill="1" applyBorder="1" applyAlignment="1" applyProtection="1">
      <alignment horizontal="left"/>
      <protection hidden="1"/>
    </xf>
    <xf numFmtId="0" fontId="49" fillId="7" borderId="9" xfId="0" applyFont="1" applyFill="1" applyBorder="1" applyAlignment="1" applyProtection="1">
      <alignment horizontal="left"/>
      <protection hidden="1"/>
    </xf>
    <xf numFmtId="0" fontId="49" fillId="7" borderId="7" xfId="0" applyFont="1" applyFill="1" applyBorder="1" applyAlignment="1" applyProtection="1">
      <alignment horizontal="left"/>
      <protection hidden="1"/>
    </xf>
    <xf numFmtId="0" fontId="11" fillId="2" borderId="6" xfId="0" applyFont="1" applyFill="1" applyBorder="1" applyAlignment="1" applyProtection="1">
      <alignment horizontal="left"/>
      <protection hidden="1"/>
    </xf>
    <xf numFmtId="0" fontId="11" fillId="2" borderId="9" xfId="0" applyFont="1" applyFill="1" applyBorder="1" applyAlignment="1" applyProtection="1">
      <alignment horizontal="left"/>
      <protection hidden="1"/>
    </xf>
    <xf numFmtId="0" fontId="11" fillId="12" borderId="21" xfId="0" applyFont="1" applyFill="1" applyBorder="1" applyAlignment="1" applyProtection="1">
      <alignment horizontal="right"/>
      <protection hidden="1"/>
    </xf>
    <xf numFmtId="0" fontId="11" fillId="12" borderId="22" xfId="0" applyFont="1" applyFill="1" applyBorder="1" applyAlignment="1" applyProtection="1">
      <alignment horizontal="right"/>
      <protection hidden="1"/>
    </xf>
    <xf numFmtId="0" fontId="11" fillId="12" borderId="92" xfId="0" applyFont="1" applyFill="1" applyBorder="1" applyAlignment="1" applyProtection="1">
      <alignment horizontal="right"/>
      <protection hidden="1"/>
    </xf>
    <xf numFmtId="0" fontId="11" fillId="14" borderId="1" xfId="0" applyFont="1" applyFill="1" applyBorder="1" applyAlignment="1" applyProtection="1">
      <alignment horizontal="center"/>
      <protection hidden="1"/>
    </xf>
    <xf numFmtId="0" fontId="11" fillId="14" borderId="2" xfId="0" applyFont="1" applyFill="1" applyBorder="1" applyAlignment="1" applyProtection="1">
      <alignment horizontal="center"/>
      <protection hidden="1"/>
    </xf>
    <xf numFmtId="0" fontId="11" fillId="14" borderId="3" xfId="0" applyFont="1" applyFill="1" applyBorder="1" applyAlignment="1" applyProtection="1">
      <alignment horizontal="center"/>
      <protection hidden="1"/>
    </xf>
    <xf numFmtId="0" fontId="51" fillId="14" borderId="1" xfId="0" applyFont="1" applyFill="1" applyBorder="1" applyAlignment="1" applyProtection="1">
      <alignment horizontal="center" vertical="center" wrapText="1"/>
      <protection hidden="1"/>
    </xf>
    <xf numFmtId="0" fontId="51" fillId="14" borderId="2" xfId="0" applyFont="1" applyFill="1" applyBorder="1" applyAlignment="1" applyProtection="1">
      <alignment horizontal="center" vertical="center" wrapText="1"/>
      <protection hidden="1"/>
    </xf>
    <xf numFmtId="0" fontId="51" fillId="14" borderId="3" xfId="0" applyFont="1" applyFill="1" applyBorder="1" applyAlignment="1" applyProtection="1">
      <alignment horizontal="center" vertical="center" wrapText="1"/>
      <protection hidden="1"/>
    </xf>
    <xf numFmtId="0" fontId="51" fillId="14" borderId="4" xfId="0" applyFont="1" applyFill="1" applyBorder="1" applyAlignment="1" applyProtection="1">
      <alignment horizontal="center" vertical="center" wrapText="1"/>
      <protection hidden="1"/>
    </xf>
    <xf numFmtId="0" fontId="51" fillId="14" borderId="0" xfId="0" applyFont="1" applyFill="1" applyBorder="1" applyAlignment="1" applyProtection="1">
      <alignment horizontal="center" vertical="center" wrapText="1"/>
      <protection hidden="1"/>
    </xf>
    <xf numFmtId="0" fontId="51" fillId="14" borderId="5" xfId="0" applyFont="1" applyFill="1" applyBorder="1" applyAlignment="1" applyProtection="1">
      <alignment horizontal="center" vertical="center" wrapText="1"/>
      <protection hidden="1"/>
    </xf>
    <xf numFmtId="0" fontId="51" fillId="14" borderId="18" xfId="0" applyFont="1" applyFill="1" applyBorder="1" applyAlignment="1" applyProtection="1">
      <alignment horizontal="center" vertical="center" wrapText="1"/>
      <protection hidden="1"/>
    </xf>
    <xf numFmtId="0" fontId="51" fillId="14" borderId="19" xfId="0" applyFont="1" applyFill="1" applyBorder="1" applyAlignment="1" applyProtection="1">
      <alignment horizontal="center" vertical="center" wrapText="1"/>
      <protection hidden="1"/>
    </xf>
    <xf numFmtId="0" fontId="51" fillId="14" borderId="20" xfId="0" applyFont="1" applyFill="1" applyBorder="1" applyAlignment="1" applyProtection="1">
      <alignment horizontal="center" vertical="center" wrapText="1"/>
      <protection hidden="1"/>
    </xf>
    <xf numFmtId="0" fontId="61" fillId="3" borderId="0" xfId="0" applyFont="1" applyFill="1" applyBorder="1" applyAlignment="1" applyProtection="1">
      <alignment horizontal="left"/>
      <protection hidden="1"/>
    </xf>
    <xf numFmtId="0" fontId="11" fillId="13" borderId="10" xfId="0" applyFont="1" applyFill="1" applyBorder="1" applyAlignment="1" applyProtection="1">
      <alignment horizontal="left"/>
      <protection hidden="1"/>
    </xf>
    <xf numFmtId="0" fontId="11" fillId="13" borderId="11" xfId="0" applyFont="1" applyFill="1" applyBorder="1" applyAlignment="1" applyProtection="1">
      <alignment horizontal="left"/>
      <protection hidden="1"/>
    </xf>
    <xf numFmtId="0" fontId="11" fillId="13" borderId="12" xfId="0" applyFont="1" applyFill="1" applyBorder="1" applyAlignment="1" applyProtection="1">
      <alignment horizontal="left"/>
      <protection hidden="1"/>
    </xf>
    <xf numFmtId="0" fontId="61" fillId="2" borderId="8" xfId="0" applyFont="1" applyFill="1" applyBorder="1" applyAlignment="1" applyProtection="1">
      <alignment horizontal="left"/>
      <protection hidden="1"/>
    </xf>
    <xf numFmtId="0" fontId="61" fillId="2" borderId="0" xfId="0" applyFont="1" applyFill="1" applyBorder="1" applyAlignment="1" applyProtection="1">
      <alignment horizontal="left"/>
      <protection hidden="1"/>
    </xf>
  </cellXfs>
  <cellStyles count="5">
    <cellStyle name="Currency" xfId="4" builtinId="4"/>
    <cellStyle name="Hyperlink" xfId="1" builtinId="8"/>
    <cellStyle name="Normal" xfId="0" builtinId="0"/>
    <cellStyle name="Normal_Management scoresheet" xfId="3" xr:uid="{2AD03D4E-5840-42AC-8833-06B9EA8A1A29}"/>
    <cellStyle name="Per cent" xfId="2" builtinId="5"/>
  </cellStyles>
  <dxfs count="67">
    <dxf>
      <font>
        <color rgb="FF9C0006"/>
      </font>
      <fill>
        <patternFill>
          <bgColor rgb="FFFFC7CE"/>
        </patternFill>
      </fill>
    </dxf>
    <dxf>
      <font>
        <b/>
        <i val="0"/>
        <color rgb="FFFF0000"/>
      </font>
    </dxf>
    <dxf>
      <font>
        <b/>
        <i val="0"/>
        <color rgb="FF92D050"/>
      </font>
    </dxf>
    <dxf>
      <font>
        <color rgb="FF00B050"/>
      </font>
      <fill>
        <patternFill>
          <bgColor theme="0" tint="-0.14996795556505021"/>
        </patternFill>
      </fill>
    </dxf>
    <dxf>
      <font>
        <color rgb="FF9C0006"/>
      </font>
      <fill>
        <patternFill>
          <bgColor rgb="FFFFC7CE"/>
        </patternFill>
      </fill>
    </dxf>
    <dxf>
      <font>
        <b/>
        <i val="0"/>
        <color rgb="FFFF0000"/>
      </font>
    </dxf>
    <dxf>
      <font>
        <b/>
        <i val="0"/>
        <color rgb="FF92D050"/>
      </font>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ont>
        <color rgb="FF00B050"/>
      </font>
      <fill>
        <patternFill>
          <bgColor theme="0" tint="-0.14996795556505021"/>
        </patternFill>
      </fill>
    </dxf>
    <dxf>
      <font>
        <color rgb="FF9C0006"/>
      </font>
      <fill>
        <patternFill>
          <bgColor rgb="FFFFC7CE"/>
        </patternFill>
      </fill>
    </dxf>
    <dxf>
      <fill>
        <patternFill>
          <bgColor theme="0" tint="-0.34998626667073579"/>
        </patternFill>
      </fill>
    </dxf>
    <dxf>
      <fill>
        <patternFill>
          <bgColor theme="0" tint="-0.34998626667073579"/>
        </patternFill>
      </fill>
    </dxf>
    <dxf>
      <fill>
        <patternFill>
          <bgColor rgb="FFFFFF00"/>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b/>
        <i val="0"/>
        <color rgb="FFFF0000"/>
      </font>
    </dxf>
    <dxf>
      <font>
        <b/>
        <i val="0"/>
        <color rgb="FF92D050"/>
      </font>
    </dxf>
    <dxf>
      <font>
        <color rgb="FF00B050"/>
      </font>
      <fill>
        <patternFill>
          <bgColor theme="0" tint="-0.14996795556505021"/>
        </patternFill>
      </fill>
    </dxf>
    <dxf>
      <font>
        <color rgb="FF9C0006"/>
      </font>
      <fill>
        <patternFill>
          <bgColor rgb="FFFFC7CE"/>
        </patternFill>
      </fill>
    </dxf>
    <dxf>
      <fill>
        <patternFill>
          <bgColor rgb="FFFFFF00"/>
        </patternFill>
      </fill>
    </dxf>
    <dxf>
      <fill>
        <patternFill>
          <bgColor theme="0" tint="-0.24994659260841701"/>
        </patternFill>
      </fill>
    </dxf>
    <dxf>
      <fill>
        <patternFill>
          <bgColor theme="0" tint="-0.34998626667073579"/>
        </patternFill>
      </fill>
    </dxf>
    <dxf>
      <font>
        <b/>
        <i val="0"/>
        <color rgb="FF92D050"/>
      </font>
    </dxf>
    <dxf>
      <font>
        <b/>
        <i val="0"/>
        <color rgb="FFFF0000"/>
      </font>
    </dxf>
    <dxf>
      <font>
        <color rgb="FFFF0000"/>
      </font>
      <fill>
        <patternFill>
          <bgColor theme="0" tint="-0.14996795556505021"/>
        </patternFill>
      </fill>
    </dxf>
    <dxf>
      <fill>
        <patternFill>
          <bgColor theme="0" tint="-0.24994659260841701"/>
        </patternFill>
      </fill>
    </dxf>
    <dxf>
      <fill>
        <patternFill>
          <bgColor theme="0" tint="-0.24994659260841701"/>
        </patternFill>
      </fill>
    </dxf>
    <dxf>
      <font>
        <b/>
        <i val="0"/>
        <color rgb="FFFF0000"/>
      </font>
    </dxf>
    <dxf>
      <font>
        <b/>
        <i val="0"/>
        <color rgb="FF92D050"/>
      </font>
    </dxf>
    <dxf>
      <fill>
        <patternFill>
          <bgColor theme="0" tint="-0.24994659260841701"/>
        </patternFill>
      </fill>
    </dxf>
    <dxf>
      <fill>
        <patternFill>
          <bgColor theme="0" tint="-0.34998626667073579"/>
        </patternFill>
      </fill>
    </dxf>
  </dxfs>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 Id="rId27" Type="http://schemas.openxmlformats.org/officeDocument/2006/relationships/customXml" Target="../customXml/item5.xml"/></Relationships>
</file>

<file path=xl/charts/_rels/chart3.xml.rels><?xml version="1.0" encoding="UTF-8" standalone="yes"?>
<Relationships xmlns="http://schemas.openxmlformats.org/package/2006/relationships"><Relationship Id="rId1" Type="http://schemas.openxmlformats.org/officeDocument/2006/relationships/image" Target="../media/image3.jpeg"/></Relationships>
</file>

<file path=xl/charts/_rels/chart4.xml.rels><?xml version="1.0" encoding="UTF-8" standalone="yes"?>
<Relationships xmlns="http://schemas.openxmlformats.org/package/2006/relationships"><Relationship Id="rId1" Type="http://schemas.openxmlformats.org/officeDocument/2006/relationships/image" Target="../media/image3.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98452176213787"/>
          <c:y val="0.12685030350571325"/>
          <c:w val="0.37465273184283637"/>
          <c:h val="0.74841679068370826"/>
        </c:manualLayout>
      </c:layout>
      <c:pieChart>
        <c:varyColors val="1"/>
        <c:ser>
          <c:idx val="0"/>
          <c:order val="0"/>
          <c:spPr>
            <a:solidFill>
              <a:srgbClr val="8080FF"/>
            </a:solidFill>
            <a:ln w="12700">
              <a:solidFill>
                <a:srgbClr val="000000"/>
              </a:solidFill>
              <a:prstDash val="solid"/>
            </a:ln>
          </c:spPr>
          <c:dPt>
            <c:idx val="0"/>
            <c:bubble3D val="0"/>
            <c:spPr>
              <a:solidFill>
                <a:srgbClr val="FFFFC0"/>
              </a:solidFill>
              <a:ln w="12700">
                <a:solidFill>
                  <a:srgbClr val="000000"/>
                </a:solidFill>
                <a:prstDash val="solid"/>
              </a:ln>
            </c:spPr>
            <c:extLst>
              <c:ext xmlns:c16="http://schemas.microsoft.com/office/drawing/2014/chart" uri="{C3380CC4-5D6E-409C-BE32-E72D297353CC}">
                <c16:uniqueId val="{00000000-513C-4CFB-9EB9-35ED98372E69}"/>
              </c:ext>
            </c:extLst>
          </c:dPt>
          <c:dPt>
            <c:idx val="1"/>
            <c:bubble3D val="0"/>
            <c:spPr>
              <a:solidFill>
                <a:srgbClr val="A0E0E0"/>
              </a:solidFill>
              <a:ln w="12700">
                <a:solidFill>
                  <a:srgbClr val="000000"/>
                </a:solidFill>
                <a:prstDash val="solid"/>
              </a:ln>
            </c:spPr>
            <c:extLst>
              <c:ext xmlns:c16="http://schemas.microsoft.com/office/drawing/2014/chart" uri="{C3380CC4-5D6E-409C-BE32-E72D297353CC}">
                <c16:uniqueId val="{00000002-513C-4CFB-9EB9-35ED98372E69}"/>
              </c:ext>
            </c:extLst>
          </c:dPt>
          <c:dPt>
            <c:idx val="2"/>
            <c:bubble3D val="0"/>
            <c:spPr>
              <a:solidFill>
                <a:srgbClr val="600080"/>
              </a:solidFill>
              <a:ln w="12700">
                <a:solidFill>
                  <a:srgbClr val="000000"/>
                </a:solidFill>
                <a:prstDash val="solid"/>
              </a:ln>
            </c:spPr>
            <c:extLst>
              <c:ext xmlns:c16="http://schemas.microsoft.com/office/drawing/2014/chart" uri="{C3380CC4-5D6E-409C-BE32-E72D297353CC}">
                <c16:uniqueId val="{00000004-513C-4CFB-9EB9-35ED98372E69}"/>
              </c:ext>
            </c:extLst>
          </c:dPt>
          <c:dPt>
            <c:idx val="3"/>
            <c:bubble3D val="0"/>
            <c:spPr>
              <a:solidFill>
                <a:srgbClr val="FF8080"/>
              </a:solidFill>
              <a:ln w="12700">
                <a:solidFill>
                  <a:srgbClr val="000000"/>
                </a:solidFill>
                <a:prstDash val="solid"/>
              </a:ln>
            </c:spPr>
            <c:extLst>
              <c:ext xmlns:c16="http://schemas.microsoft.com/office/drawing/2014/chart" uri="{C3380CC4-5D6E-409C-BE32-E72D297353CC}">
                <c16:uniqueId val="{00000006-513C-4CFB-9EB9-35ED98372E69}"/>
              </c:ext>
            </c:extLst>
          </c:dPt>
          <c:cat>
            <c:strRef>
              <c:f>'[1]Emissions Summary'!$C$8:$C$13</c:f>
              <c:strCache>
                <c:ptCount val="6"/>
                <c:pt idx="0">
                  <c:v>Air</c:v>
                </c:pt>
                <c:pt idx="1">
                  <c:v>Water</c:v>
                </c:pt>
                <c:pt idx="2">
                  <c:v>Land</c:v>
                </c:pt>
                <c:pt idx="3">
                  <c:v>Sewer</c:v>
                </c:pt>
                <c:pt idx="4">
                  <c:v>Waste Off Site</c:v>
                </c:pt>
                <c:pt idx="5">
                  <c:v>Waste Input</c:v>
                </c:pt>
              </c:strCache>
            </c:strRef>
          </c:cat>
          <c:val>
            <c:numRef>
              <c:f>'9 Emissions summary'!$D$10:$D$15</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B-513C-4CFB-9EB9-35ED98372E6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8337813973780981"/>
          <c:y val="0.15675675675675677"/>
          <c:w val="0.28496069917381694"/>
          <c:h val="0.67027027027027031"/>
        </c:manualLayout>
      </c:layout>
      <c:overlay val="0"/>
      <c:spPr>
        <a:solidFill>
          <a:srgbClr val="CCFFCC"/>
        </a:solidFill>
        <a:ln w="3175">
          <a:solidFill>
            <a:srgbClr val="000000"/>
          </a:solidFill>
          <a:prstDash val="solid"/>
        </a:ln>
      </c:spPr>
      <c:txPr>
        <a:bodyPr/>
        <a:lstStyle/>
        <a:p>
          <a:pPr>
            <a:defRPr sz="850" b="0" i="0" u="none" strike="noStrike" baseline="0">
              <a:solidFill>
                <a:srgbClr val="000000"/>
              </a:solidFill>
              <a:latin typeface="Times New Roman"/>
              <a:ea typeface="Times New Roman"/>
              <a:cs typeface="Times New Roman"/>
            </a:defRPr>
          </a:pPr>
          <a:endParaRPr lang="en-US"/>
        </a:p>
      </c:txPr>
    </c:legend>
    <c:plotVisOnly val="1"/>
    <c:dispBlanksAs val="zero"/>
    <c:showDLblsOverMax val="0"/>
  </c:chart>
  <c:spPr>
    <a:solidFill>
      <a:srgbClr val="CCFFCC"/>
    </a:solidFill>
    <a:ln w="3175">
      <a:solidFill>
        <a:srgbClr val="000000"/>
      </a:solidFill>
      <a:prstDash val="solid"/>
    </a:ln>
  </c:spPr>
  <c:txPr>
    <a:bodyPr/>
    <a:lstStyle/>
    <a:p>
      <a:pPr>
        <a:defRPr sz="110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508532607566535"/>
          <c:y val="4.4406673835374104E-2"/>
        </c:manualLayout>
      </c:layout>
      <c:overlay val="0"/>
      <c:spPr>
        <a:noFill/>
        <a:ln w="25400">
          <a:noFill/>
        </a:ln>
      </c:spPr>
      <c:txPr>
        <a:bodyPr/>
        <a:lstStyle/>
        <a:p>
          <a:pPr>
            <a:defRPr sz="1200" b="0" i="0" u="none" strike="noStrike" baseline="0">
              <a:solidFill>
                <a:srgbClr val="000000"/>
              </a:solidFill>
              <a:latin typeface="Times New Roman"/>
              <a:ea typeface="Times New Roman"/>
              <a:cs typeface="Times New Roman"/>
            </a:defRPr>
          </a:pPr>
          <a:endParaRPr lang="en-US"/>
        </a:p>
      </c:txPr>
    </c:title>
    <c:autoTitleDeleted val="0"/>
    <c:plotArea>
      <c:layout>
        <c:manualLayout>
          <c:layoutTarget val="inner"/>
          <c:xMode val="edge"/>
          <c:yMode val="edge"/>
          <c:x val="0.1291176081492261"/>
          <c:y val="0.21520124401543783"/>
          <c:w val="0.80433919830665435"/>
          <c:h val="0.47480909393882315"/>
        </c:manualLayout>
      </c:layout>
      <c:barChart>
        <c:barDir val="col"/>
        <c:grouping val="clustered"/>
        <c:varyColors val="1"/>
        <c:ser>
          <c:idx val="0"/>
          <c:order val="0"/>
          <c:tx>
            <c:strRef>
              <c:f>'9 Emissions summary'!$D$23:$E$23</c:f>
              <c:strCache>
                <c:ptCount val="1"/>
                <c:pt idx="0">
                  <c:v>Band</c:v>
                </c:pt>
              </c:strCache>
            </c:strRef>
          </c:tx>
          <c:spPr>
            <a:solidFill>
              <a:srgbClr val="8080FF"/>
            </a:solidFill>
            <a:ln w="12700">
              <a:solidFill>
                <a:srgbClr val="000000"/>
              </a:solidFill>
              <a:prstDash val="solid"/>
            </a:ln>
          </c:spPr>
          <c:invertIfNegative val="0"/>
          <c:dPt>
            <c:idx val="0"/>
            <c:invertIfNegative val="0"/>
            <c:bubble3D val="0"/>
            <c:spPr>
              <a:solidFill>
                <a:srgbClr val="FFFFC0"/>
              </a:solidFill>
              <a:ln w="12700">
                <a:solidFill>
                  <a:srgbClr val="000000"/>
                </a:solidFill>
                <a:prstDash val="solid"/>
              </a:ln>
            </c:spPr>
            <c:extLst>
              <c:ext xmlns:c16="http://schemas.microsoft.com/office/drawing/2014/chart" uri="{C3380CC4-5D6E-409C-BE32-E72D297353CC}">
                <c16:uniqueId val="{00000000-F4C2-482B-A0FE-36CC108FAB36}"/>
              </c:ext>
            </c:extLst>
          </c:dPt>
          <c:dPt>
            <c:idx val="1"/>
            <c:invertIfNegative val="0"/>
            <c:bubble3D val="0"/>
            <c:spPr>
              <a:solidFill>
                <a:srgbClr val="A0E0E0"/>
              </a:solidFill>
              <a:ln w="12700">
                <a:solidFill>
                  <a:srgbClr val="000000"/>
                </a:solidFill>
                <a:prstDash val="solid"/>
              </a:ln>
            </c:spPr>
            <c:extLst>
              <c:ext xmlns:c16="http://schemas.microsoft.com/office/drawing/2014/chart" uri="{C3380CC4-5D6E-409C-BE32-E72D297353CC}">
                <c16:uniqueId val="{00000002-F4C2-482B-A0FE-36CC108FAB36}"/>
              </c:ext>
            </c:extLst>
          </c:dPt>
          <c:dPt>
            <c:idx val="2"/>
            <c:invertIfNegative val="0"/>
            <c:bubble3D val="0"/>
            <c:spPr>
              <a:solidFill>
                <a:srgbClr val="600080"/>
              </a:solidFill>
              <a:ln w="12700">
                <a:solidFill>
                  <a:srgbClr val="000000"/>
                </a:solidFill>
                <a:prstDash val="solid"/>
              </a:ln>
            </c:spPr>
            <c:extLst>
              <c:ext xmlns:c16="http://schemas.microsoft.com/office/drawing/2014/chart" uri="{C3380CC4-5D6E-409C-BE32-E72D297353CC}">
                <c16:uniqueId val="{00000004-F4C2-482B-A0FE-36CC108FAB36}"/>
              </c:ext>
            </c:extLst>
          </c:dPt>
          <c:dPt>
            <c:idx val="3"/>
            <c:invertIfNegative val="0"/>
            <c:bubble3D val="0"/>
            <c:spPr>
              <a:solidFill>
                <a:srgbClr val="FF8080"/>
              </a:solidFill>
              <a:ln w="12700">
                <a:solidFill>
                  <a:srgbClr val="000000"/>
                </a:solidFill>
                <a:prstDash val="solid"/>
              </a:ln>
            </c:spPr>
            <c:extLst>
              <c:ext xmlns:c16="http://schemas.microsoft.com/office/drawing/2014/chart" uri="{C3380CC4-5D6E-409C-BE32-E72D297353CC}">
                <c16:uniqueId val="{00000006-F4C2-482B-A0FE-36CC108FAB36}"/>
              </c:ext>
            </c:extLst>
          </c:dPt>
          <c:cat>
            <c:strRef>
              <c:f>'[1]Emissions Summary'!$C$22:$C$27</c:f>
              <c:strCache>
                <c:ptCount val="6"/>
                <c:pt idx="0">
                  <c:v>Air</c:v>
                </c:pt>
                <c:pt idx="1">
                  <c:v>Water</c:v>
                </c:pt>
                <c:pt idx="2">
                  <c:v>Land</c:v>
                </c:pt>
                <c:pt idx="3">
                  <c:v>Sewer</c:v>
                </c:pt>
                <c:pt idx="4">
                  <c:v>Waste Off Site</c:v>
                </c:pt>
                <c:pt idx="5">
                  <c:v>Waste Input</c:v>
                </c:pt>
              </c:strCache>
            </c:strRef>
          </c:cat>
          <c:val>
            <c:numRef>
              <c:f>'9 Emissions summary'!$D$24:$D$29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B-F4C2-482B-A0FE-36CC108FAB36}"/>
            </c:ext>
          </c:extLst>
        </c:ser>
        <c:dLbls>
          <c:showLegendKey val="0"/>
          <c:showVal val="0"/>
          <c:showCatName val="0"/>
          <c:showSerName val="0"/>
          <c:showPercent val="0"/>
          <c:showBubbleSize val="0"/>
        </c:dLbls>
        <c:gapWidth val="150"/>
        <c:axId val="398662224"/>
        <c:axId val="398662616"/>
      </c:barChart>
      <c:catAx>
        <c:axId val="398662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398662616"/>
        <c:crosses val="autoZero"/>
        <c:auto val="1"/>
        <c:lblAlgn val="ctr"/>
        <c:lblOffset val="100"/>
        <c:tickLblSkip val="1"/>
        <c:tickMarkSkip val="1"/>
        <c:noMultiLvlLbl val="0"/>
      </c:catAx>
      <c:valAx>
        <c:axId val="398662616"/>
        <c:scaling>
          <c:orientation val="minMax"/>
          <c:max val="5"/>
          <c:min val="0"/>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500" b="0" i="0" u="none" strike="noStrike" baseline="0">
                <a:solidFill>
                  <a:srgbClr val="000000"/>
                </a:solidFill>
                <a:latin typeface="Times New Roman"/>
                <a:ea typeface="Times New Roman"/>
                <a:cs typeface="Times New Roman"/>
              </a:defRPr>
            </a:pPr>
            <a:endParaRPr lang="en-US"/>
          </a:p>
        </c:txPr>
        <c:crossAx val="398662224"/>
        <c:crosses val="autoZero"/>
        <c:crossBetween val="between"/>
        <c:majorUnit val="1"/>
        <c:minorUnit val="0.4"/>
      </c:valAx>
      <c:spPr>
        <a:solidFill>
          <a:srgbClr val="FFFFFF"/>
        </a:solidFill>
        <a:ln w="12700">
          <a:solidFill>
            <a:srgbClr val="808080"/>
          </a:solidFill>
          <a:prstDash val="solid"/>
        </a:ln>
      </c:spPr>
    </c:plotArea>
    <c:plotVisOnly val="1"/>
    <c:dispBlanksAs val="gap"/>
    <c:showDLblsOverMax val="0"/>
  </c:chart>
  <c:spPr>
    <a:solidFill>
      <a:srgbClr val="CCFFCC"/>
    </a:solidFill>
    <a:ln w="3175">
      <a:solidFill>
        <a:srgbClr val="000000"/>
      </a:solidFill>
      <a:prstDash val="solid"/>
    </a:ln>
  </c:spPr>
  <c:txPr>
    <a:bodyPr/>
    <a:lstStyle/>
    <a:p>
      <a:pPr>
        <a:defRPr sz="1200"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paperSize="9" orientation="landscape" horizontalDpi="-4"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Times New Roman"/>
                <a:ea typeface="Times New Roman"/>
                <a:cs typeface="Times New Roman"/>
              </a:defRPr>
            </a:pPr>
            <a:r>
              <a:rPr lang="en-GB"/>
              <a:t>Location Attribute Profile</a:t>
            </a:r>
          </a:p>
        </c:rich>
      </c:tx>
      <c:layout>
        <c:manualLayout>
          <c:xMode val="edge"/>
          <c:yMode val="edge"/>
          <c:x val="0.32614424849786344"/>
          <c:y val="4.5145186891164292E-2"/>
        </c:manualLayout>
      </c:layout>
      <c:overlay val="0"/>
      <c:spPr>
        <a:noFill/>
        <a:ln w="25400">
          <a:noFill/>
        </a:ln>
      </c:spPr>
    </c:title>
    <c:autoTitleDeleted val="0"/>
    <c:plotArea>
      <c:layout>
        <c:manualLayout>
          <c:layoutTarget val="inner"/>
          <c:xMode val="edge"/>
          <c:yMode val="edge"/>
          <c:x val="0.12676056338028172"/>
          <c:y val="0.34826303318841439"/>
          <c:w val="0.85299295774647899"/>
          <c:h val="0.32891508690016913"/>
        </c:manualLayout>
      </c:layout>
      <c:barChart>
        <c:barDir val="col"/>
        <c:grouping val="clustered"/>
        <c:varyColors val="0"/>
        <c:ser>
          <c:idx val="0"/>
          <c:order val="0"/>
          <c:spPr>
            <a:gradFill rotWithShape="0">
              <a:gsLst>
                <a:gs pos="0">
                  <a:srgbClr val="8080FF"/>
                </a:gs>
                <a:gs pos="100000">
                  <a:srgbClr val="8080FF">
                    <a:gamma/>
                    <a:shade val="46275"/>
                    <a:invGamma/>
                  </a:srgbClr>
                </a:gs>
              </a:gsLst>
              <a:lin ang="5400000" scaled="1"/>
            </a:gradFill>
            <a:ln w="12700">
              <a:solidFill>
                <a:srgbClr val="000000"/>
              </a:solidFill>
              <a:prstDash val="solid"/>
            </a:ln>
          </c:spPr>
          <c:invertIfNegative val="0"/>
          <c:cat>
            <c:strRef>
              <c:f>[1]Location!$C$49:$C$55</c:f>
              <c:strCache>
                <c:ptCount val="7"/>
                <c:pt idx="0">
                  <c:v>Occupation </c:v>
                </c:pt>
                <c:pt idx="1">
                  <c:v>Habitats</c:v>
                </c:pt>
                <c:pt idx="2">
                  <c:v>Aquifers</c:v>
                </c:pt>
                <c:pt idx="3">
                  <c:v>Receiving Waters</c:v>
                </c:pt>
                <c:pt idx="4">
                  <c:v>Run Off</c:v>
                </c:pt>
                <c:pt idx="5">
                  <c:v>Air Quality</c:v>
                </c:pt>
                <c:pt idx="6">
                  <c:v>Flood Plain</c:v>
                </c:pt>
              </c:strCache>
            </c:strRef>
          </c:cat>
          <c:val>
            <c:numRef>
              <c:f>'10 Location'!$D$57:$D$63</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2326-4499-8346-1A0A9E8BA7DE}"/>
            </c:ext>
          </c:extLst>
        </c:ser>
        <c:dLbls>
          <c:showLegendKey val="0"/>
          <c:showVal val="0"/>
          <c:showCatName val="0"/>
          <c:showSerName val="0"/>
          <c:showPercent val="0"/>
          <c:showBubbleSize val="0"/>
        </c:dLbls>
        <c:gapWidth val="150"/>
        <c:axId val="505053864"/>
        <c:axId val="505054256"/>
      </c:barChart>
      <c:catAx>
        <c:axId val="505053864"/>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en-US"/>
          </a:p>
        </c:txPr>
        <c:crossAx val="505054256"/>
        <c:crosses val="autoZero"/>
        <c:auto val="1"/>
        <c:lblAlgn val="ctr"/>
        <c:lblOffset val="100"/>
        <c:tickLblSkip val="1"/>
        <c:tickMarkSkip val="1"/>
        <c:noMultiLvlLbl val="0"/>
      </c:catAx>
      <c:valAx>
        <c:axId val="505054256"/>
        <c:scaling>
          <c:orientation val="minMax"/>
          <c:max val="5"/>
        </c:scaling>
        <c:delete val="0"/>
        <c:axPos val="l"/>
        <c:majorGridlines>
          <c:spPr>
            <a:ln w="3175">
              <a:solidFill>
                <a:srgbClr val="000000"/>
              </a:solidFill>
              <a:prstDash val="solid"/>
            </a:ln>
          </c:spPr>
        </c:majorGridlines>
        <c:title>
          <c:tx>
            <c:rich>
              <a:bodyPr/>
              <a:lstStyle/>
              <a:p>
                <a:pPr>
                  <a:defRPr sz="1200" b="0" i="0" u="none" strike="noStrike" baseline="0">
                    <a:solidFill>
                      <a:srgbClr val="000000"/>
                    </a:solidFill>
                    <a:latin typeface="Times New Roman"/>
                    <a:ea typeface="Times New Roman"/>
                    <a:cs typeface="Times New Roman"/>
                  </a:defRPr>
                </a:pPr>
                <a:r>
                  <a:rPr lang="en-GB"/>
                  <a:t>Score</a:t>
                </a:r>
              </a:p>
            </c:rich>
          </c:tx>
          <c:layout>
            <c:manualLayout>
              <c:xMode val="edge"/>
              <c:yMode val="edge"/>
              <c:x val="4.621487603305785E-2"/>
              <c:y val="0.428879275466060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en-US"/>
          </a:p>
        </c:txPr>
        <c:crossAx val="505053864"/>
        <c:crosses val="autoZero"/>
        <c:crossBetween val="between"/>
        <c:majorUnit val="1"/>
      </c:valAx>
      <c:spPr>
        <a:blipFill dpi="0" rotWithShape="0">
          <a:blip xmlns:r="http://schemas.openxmlformats.org/officeDocument/2006/relationships" r:embed="rId1"/>
          <a:srcRect/>
          <a:tile tx="0" ty="0" sx="100000" sy="100000" flip="none" algn="tl"/>
        </a:blipFill>
        <a:ln w="12700">
          <a:solidFill>
            <a:srgbClr val="808080"/>
          </a:solidFill>
          <a:prstDash val="solid"/>
        </a:ln>
      </c:spPr>
    </c:plotArea>
    <c:plotVisOnly val="1"/>
    <c:dispBlanksAs val="gap"/>
    <c:showDLblsOverMax val="0"/>
  </c:chart>
  <c:spPr>
    <a:solidFill>
      <a:srgbClr val="CCFFCC"/>
    </a:solidFill>
    <a:ln w="3175">
      <a:solidFill>
        <a:srgbClr val="000000"/>
      </a:solidFill>
      <a:prstDash val="solid"/>
    </a:ln>
  </c:spPr>
  <c:txPr>
    <a:bodyPr/>
    <a:lstStyle/>
    <a:p>
      <a:pPr>
        <a:defRPr sz="1475" b="0" i="0" u="none" strike="noStrike" baseline="0">
          <a:solidFill>
            <a:srgbClr val="000000"/>
          </a:solidFill>
          <a:latin typeface="Times New Roman"/>
          <a:ea typeface="Times New Roman"/>
          <a:cs typeface="Times New Roman"/>
        </a:defRPr>
      </a:pPr>
      <a:endParaRPr lang="en-US"/>
    </a:p>
  </c:txPr>
  <c:printSettings>
    <c:headerFooter alignWithMargins="0"/>
    <c:pageMargins b="1" l="0.75" r="0.75" t="1" header="0.5" footer="0.5"/>
    <c:pageSetup paperSize="9" orientation="landscape" horizontalDpi="-4"/>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25" b="1" i="0" u="none" strike="noStrike" baseline="0">
                <a:solidFill>
                  <a:srgbClr val="000000"/>
                </a:solidFill>
                <a:latin typeface="Arial"/>
                <a:ea typeface="Arial"/>
                <a:cs typeface="Arial"/>
              </a:defRPr>
            </a:pPr>
            <a:r>
              <a:rPr lang="en-GB"/>
              <a:t>Management Performance</a:t>
            </a:r>
          </a:p>
        </c:rich>
      </c:tx>
      <c:layout>
        <c:manualLayout>
          <c:xMode val="edge"/>
          <c:yMode val="edge"/>
          <c:x val="0.33538760547493546"/>
          <c:y val="3.6171923596255671E-2"/>
        </c:manualLayout>
      </c:layout>
      <c:overlay val="0"/>
      <c:spPr>
        <a:noFill/>
        <a:ln w="25400">
          <a:noFill/>
        </a:ln>
      </c:spPr>
    </c:title>
    <c:autoTitleDeleted val="0"/>
    <c:plotArea>
      <c:layout>
        <c:manualLayout>
          <c:layoutTarget val="inner"/>
          <c:xMode val="edge"/>
          <c:yMode val="edge"/>
          <c:x val="0.12678909351207132"/>
          <c:y val="0.21780225448697527"/>
          <c:w val="0.87015938574496599"/>
          <c:h val="0.66013685882611384"/>
        </c:manualLayout>
      </c:layout>
      <c:barChart>
        <c:barDir val="col"/>
        <c:grouping val="clustered"/>
        <c:varyColors val="0"/>
        <c:ser>
          <c:idx val="0"/>
          <c:order val="0"/>
          <c:invertIfNegative val="1"/>
          <c:cat>
            <c:strRef>
              <c:f>'[1]Op Perf'!$D$158:$D$163</c:f>
              <c:strCache>
                <c:ptCount val="6"/>
                <c:pt idx="0">
                  <c:v>Maintenance 20%</c:v>
                </c:pt>
                <c:pt idx="1">
                  <c:v>Training 20%</c:v>
                </c:pt>
                <c:pt idx="2">
                  <c:v>Emergency Planning 20%</c:v>
                </c:pt>
                <c:pt idx="3">
                  <c:v>Organisation 40%</c:v>
                </c:pt>
                <c:pt idx="4">
                  <c:v>Enforcement History Penalty -up to 40%</c:v>
                </c:pt>
                <c:pt idx="5">
                  <c:v>Overall average weighted score</c:v>
                </c:pt>
              </c:strCache>
            </c:strRef>
          </c:cat>
          <c:val>
            <c:numRef>
              <c:f>'11 Operator performance'!$I$163:$I$168</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8277-47EA-9F5C-831F2D1C7C90}"/>
            </c:ext>
          </c:extLst>
        </c:ser>
        <c:dLbls>
          <c:showLegendKey val="0"/>
          <c:showVal val="0"/>
          <c:showCatName val="0"/>
          <c:showSerName val="0"/>
          <c:showPercent val="0"/>
          <c:showBubbleSize val="0"/>
        </c:dLbls>
        <c:gapWidth val="80"/>
        <c:axId val="505055040"/>
        <c:axId val="417508800"/>
      </c:barChart>
      <c:catAx>
        <c:axId val="50505504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750" b="1" i="0" u="none" strike="noStrike" baseline="0">
                <a:solidFill>
                  <a:srgbClr val="000000"/>
                </a:solidFill>
                <a:latin typeface="Arial"/>
                <a:ea typeface="Arial"/>
                <a:cs typeface="Arial"/>
              </a:defRPr>
            </a:pPr>
            <a:endParaRPr lang="en-US"/>
          </a:p>
        </c:txPr>
        <c:crossAx val="417508800"/>
        <c:crosses val="autoZero"/>
        <c:auto val="1"/>
        <c:lblAlgn val="ctr"/>
        <c:lblOffset val="100"/>
        <c:tickLblSkip val="1"/>
        <c:tickMarkSkip val="1"/>
        <c:noMultiLvlLbl val="0"/>
      </c:catAx>
      <c:valAx>
        <c:axId val="417508800"/>
        <c:scaling>
          <c:orientation val="minMax"/>
        </c:scaling>
        <c:delete val="0"/>
        <c:axPos val="l"/>
        <c:title>
          <c:tx>
            <c:rich>
              <a:bodyPr/>
              <a:lstStyle/>
              <a:p>
                <a:pPr>
                  <a:defRPr sz="925" b="1" i="0" u="none" strike="noStrike" baseline="0">
                    <a:solidFill>
                      <a:srgbClr val="000000"/>
                    </a:solidFill>
                    <a:latin typeface="Arial"/>
                    <a:ea typeface="Arial"/>
                    <a:cs typeface="Arial"/>
                  </a:defRPr>
                </a:pPr>
                <a:r>
                  <a:rPr lang="en-GB"/>
                  <a:t>Weighted Score</a:t>
                </a:r>
              </a:p>
            </c:rich>
          </c:tx>
          <c:layout>
            <c:manualLayout>
              <c:xMode val="edge"/>
              <c:yMode val="edge"/>
              <c:x val="2.5088045812455259E-2"/>
              <c:y val="0.38206544991124664"/>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Arial"/>
                <a:ea typeface="Arial"/>
                <a:cs typeface="Arial"/>
              </a:defRPr>
            </a:pPr>
            <a:endParaRPr lang="en-US"/>
          </a:p>
        </c:txPr>
        <c:crossAx val="505055040"/>
        <c:crosses val="autoZero"/>
        <c:crossBetween val="between"/>
      </c:valAx>
      <c:spPr>
        <a:noFill/>
        <a:ln w="25400">
          <a:noFill/>
        </a:ln>
      </c:spPr>
    </c:plotArea>
    <c:plotVisOnly val="1"/>
    <c:dispBlanksAs val="gap"/>
    <c:showDLblsOverMax val="0"/>
  </c:chart>
  <c:spPr>
    <a:blipFill dpi="0" rotWithShape="0">
      <a:blip xmlns:r="http://schemas.openxmlformats.org/officeDocument/2006/relationships" r:embed="rId1"/>
      <a:srcRect/>
      <a:tile tx="0" ty="0" sx="100000" sy="100000" flip="none" algn="tl"/>
    </a:blipFill>
    <a:ln w="3175">
      <a:solidFill>
        <a:srgbClr val="000000"/>
      </a:solidFill>
      <a:prstDash val="solid"/>
    </a:ln>
  </c:spPr>
  <c:txPr>
    <a:bodyPr/>
    <a:lstStyle/>
    <a:p>
      <a:pPr>
        <a:defRPr sz="9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landscape" horizontalDpi="-4"/>
  </c:printSettings>
</c:chartSpace>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s://www.gov.uk/government/publications/environmental-permitting-guidance-core-guidance--2" TargetMode="External"/><Relationship Id="rId2" Type="http://schemas.openxmlformats.org/officeDocument/2006/relationships/hyperlink" Target="https://naturalresources.wales/about-us/what-we-do/how-we-regulate-you/our-charges/?lang=en" TargetMode="External"/><Relationship Id="rId1" Type="http://schemas.openxmlformats.org/officeDocument/2006/relationships/hyperlink" Target="https://assets.publishing.service.gov.uk/government/uploads/system/uploads/attachment_data/file/782760/LIT_6817.pdf" TargetMode="External"/></Relationships>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238124</xdr:colOff>
      <xdr:row>6</xdr:row>
      <xdr:rowOff>171450</xdr:rowOff>
    </xdr:from>
    <xdr:to>
      <xdr:col>14</xdr:col>
      <xdr:colOff>419099</xdr:colOff>
      <xdr:row>21</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847724" y="1314450"/>
          <a:ext cx="8181975" cy="2686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mn-lt"/>
              <a:ea typeface="+mn-ea"/>
              <a:cs typeface="+mn-cs"/>
            </a:rPr>
            <a:t>This version of OPRA has been developed to work without any of the macros that were embedded in previous versions. </a:t>
          </a:r>
          <a:r>
            <a:rPr lang="en-GB"/>
            <a:t>  </a:t>
          </a:r>
        </a:p>
        <a:p>
          <a:endParaRPr lang="en-GB" sz="1100"/>
        </a:p>
        <a:p>
          <a:r>
            <a:rPr lang="en-GB" sz="1100"/>
            <a:t>The</a:t>
          </a:r>
          <a:r>
            <a:rPr lang="en-GB" sz="1100" baseline="0"/>
            <a:t> guidance for Installations </a:t>
          </a:r>
          <a:r>
            <a:rPr lang="en-GB">
              <a:hlinkClick xmlns:r="http://schemas.openxmlformats.org/officeDocument/2006/relationships" r:id=""/>
            </a:rPr>
            <a:t>Opra for EPR: Annex A – Opra Scheme for Installations (publishing.service.gov.uk)</a:t>
          </a:r>
          <a:r>
            <a:rPr lang="en-GB"/>
            <a:t> (</a:t>
          </a:r>
          <a:r>
            <a:rPr lang="en-GB">
              <a:solidFill>
                <a:srgbClr val="FF0000"/>
              </a:solidFill>
            </a:rPr>
            <a:t>Click here for LINK</a:t>
          </a:r>
          <a:r>
            <a:rPr lang="en-GB"/>
            <a:t>) is still applicable</a:t>
          </a:r>
          <a:r>
            <a:rPr lang="en-GB" baseline="0"/>
            <a:t> for Installations in Wales, </a:t>
          </a:r>
          <a:r>
            <a:rPr lang="en-GB" b="1" baseline="0"/>
            <a:t>APART FROM the following rules which mainly apply to Chemical activities:</a:t>
          </a:r>
        </a:p>
        <a:p>
          <a:endParaRPr lang="en-GB" sz="1100" baseline="0"/>
        </a:p>
        <a:p>
          <a:r>
            <a:rPr lang="en-GB" sz="1100" b="1" baseline="0"/>
            <a:t>Rule 3 </a:t>
          </a:r>
          <a:r>
            <a:rPr lang="en-GB" sz="1100" baseline="0"/>
            <a:t>- The complexity cap part of this rule has been amended so that only activities with exactly the same complexity band will count towards the total for capping. For example, currently if a site has 5 organic chemical activities with the same 4.1 sub-reference, they will be counted together and capped at 3, regardless of whether they fall into  &lt;2000 TPA (complexity band B) or &gt;2000 TPA (complexity band C).  In this version of OPRA the different sized activities will be counted separately, so that might mean 3 activities &gt;2000 TPA and 2 activities &lt;2000TPA. </a:t>
          </a:r>
        </a:p>
        <a:p>
          <a:endParaRPr lang="en-GB" sz="1100" baseline="0"/>
        </a:p>
        <a:p>
          <a:r>
            <a:rPr lang="en-GB" sz="1100" b="1" baseline="0"/>
            <a:t>Rule 4 </a:t>
          </a:r>
          <a:r>
            <a:rPr lang="en-GB" sz="1100" baseline="0"/>
            <a:t>- This rule still applies but you will need to discuss how to aggregate your site's activities with your local NRW officer. </a:t>
          </a:r>
        </a:p>
        <a:p>
          <a:endParaRPr lang="en-GB" sz="1100" baseline="0"/>
        </a:p>
        <a:p>
          <a:r>
            <a:rPr lang="en-GB" sz="1100" b="1" baseline="0"/>
            <a:t>Rule 5 </a:t>
          </a:r>
          <a:r>
            <a:rPr lang="en-GB" sz="1100" baseline="0"/>
            <a:t>- has been removed.  This relates to Chemical sites with a multi-product protocol. </a:t>
          </a:r>
          <a:endParaRPr lang="en-GB" sz="1100"/>
        </a:p>
      </xdr:txBody>
    </xdr:sp>
    <xdr:clientData/>
  </xdr:twoCellAnchor>
  <xdr:twoCellAnchor>
    <xdr:from>
      <xdr:col>1</xdr:col>
      <xdr:colOff>257176</xdr:colOff>
      <xdr:row>22</xdr:row>
      <xdr:rowOff>180974</xdr:rowOff>
    </xdr:from>
    <xdr:to>
      <xdr:col>14</xdr:col>
      <xdr:colOff>428626</xdr:colOff>
      <xdr:row>25</xdr:row>
      <xdr:rowOff>114300</xdr:rowOff>
    </xdr:to>
    <xdr:sp macro="" textlink="">
      <xdr:nvSpPr>
        <xdr:cNvPr id="3" name="TextBox 2">
          <a:hlinkClick xmlns:r="http://schemas.openxmlformats.org/officeDocument/2006/relationships" r:id="rId2"/>
          <a:extLst>
            <a:ext uri="{FF2B5EF4-FFF2-40B4-BE49-F238E27FC236}">
              <a16:creationId xmlns:a16="http://schemas.microsoft.com/office/drawing/2014/main" id="{00000000-0008-0000-0000-000003000000}"/>
            </a:ext>
          </a:extLst>
        </xdr:cNvPr>
        <xdr:cNvSpPr txBox="1"/>
      </xdr:nvSpPr>
      <xdr:spPr>
        <a:xfrm>
          <a:off x="866776" y="4371974"/>
          <a:ext cx="8096250" cy="504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Guidance</a:t>
          </a:r>
          <a:r>
            <a:rPr lang="en-GB" sz="1100" baseline="0"/>
            <a:t> on NRW's current charges can be found by searching for "Our charges" on the NRW website:  </a:t>
          </a:r>
          <a:r>
            <a:rPr lang="en-GB">
              <a:hlinkClick xmlns:r="http://schemas.openxmlformats.org/officeDocument/2006/relationships" r:id=""/>
            </a:rPr>
            <a:t>Natural Resources Wales</a:t>
          </a:r>
          <a:r>
            <a:rPr lang="en-GB"/>
            <a:t> (</a:t>
          </a:r>
          <a:r>
            <a:rPr lang="en-GB">
              <a:solidFill>
                <a:srgbClr val="FF0000"/>
              </a:solidFill>
            </a:rPr>
            <a:t>Click here</a:t>
          </a:r>
          <a:r>
            <a:rPr lang="en-GB" baseline="0">
              <a:solidFill>
                <a:srgbClr val="FF0000"/>
              </a:solidFill>
            </a:rPr>
            <a:t> for LINK</a:t>
          </a:r>
          <a:r>
            <a:rPr lang="en-GB" baseline="0"/>
            <a:t>)</a:t>
          </a:r>
          <a:endParaRPr lang="en-GB"/>
        </a:p>
        <a:p>
          <a:endParaRPr lang="en-GB" sz="1100"/>
        </a:p>
      </xdr:txBody>
    </xdr:sp>
    <xdr:clientData/>
  </xdr:twoCellAnchor>
  <xdr:twoCellAnchor>
    <xdr:from>
      <xdr:col>1</xdr:col>
      <xdr:colOff>257175</xdr:colOff>
      <xdr:row>26</xdr:row>
      <xdr:rowOff>85725</xdr:rowOff>
    </xdr:from>
    <xdr:to>
      <xdr:col>14</xdr:col>
      <xdr:colOff>438150</xdr:colOff>
      <xdr:row>30</xdr:row>
      <xdr:rowOff>19050</xdr:rowOff>
    </xdr:to>
    <xdr:sp macro="" textlink="">
      <xdr:nvSpPr>
        <xdr:cNvPr id="4" name="TextBox 3">
          <a:hlinkClick xmlns:r="http://schemas.openxmlformats.org/officeDocument/2006/relationships" r:id="rId3"/>
          <a:extLst>
            <a:ext uri="{FF2B5EF4-FFF2-40B4-BE49-F238E27FC236}">
              <a16:creationId xmlns:a16="http://schemas.microsoft.com/office/drawing/2014/main" id="{00000000-0008-0000-0000-000004000000}"/>
            </a:ext>
          </a:extLst>
        </xdr:cNvPr>
        <xdr:cNvSpPr txBox="1"/>
      </xdr:nvSpPr>
      <xdr:spPr>
        <a:xfrm>
          <a:off x="866775" y="5038725"/>
          <a:ext cx="8105775" cy="695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The</a:t>
          </a:r>
          <a:r>
            <a:rPr lang="en-GB" sz="1100" baseline="0">
              <a:solidFill>
                <a:schemeClr val="dk1"/>
              </a:solidFill>
              <a:effectLst/>
              <a:latin typeface="+mn-lt"/>
              <a:ea typeface="+mn-ea"/>
              <a:cs typeface="+mn-cs"/>
            </a:rPr>
            <a:t> Defra Core Guidance </a:t>
          </a:r>
          <a:r>
            <a:rPr lang="en-GB">
              <a:hlinkClick xmlns:r="http://schemas.openxmlformats.org/officeDocument/2006/relationships" r:id=""/>
            </a:rPr>
            <a:t>Environmental permitting guidance: Core guidance - GOV.UK (www.gov.uk)</a:t>
          </a:r>
          <a:r>
            <a:rPr lang="en-GB" baseline="0"/>
            <a:t> (</a:t>
          </a:r>
          <a:r>
            <a:rPr lang="en-GB" baseline="0">
              <a:solidFill>
                <a:srgbClr val="FF0000"/>
              </a:solidFill>
            </a:rPr>
            <a:t>Click here for LINK</a:t>
          </a:r>
          <a:r>
            <a:rPr lang="en-GB" baseline="0"/>
            <a:t>) </a:t>
          </a:r>
          <a:r>
            <a:rPr lang="en-GB" sz="1100">
              <a:solidFill>
                <a:schemeClr val="dk1"/>
              </a:solidFill>
              <a:effectLst/>
              <a:latin typeface="+mn-lt"/>
              <a:ea typeface="+mn-ea"/>
              <a:cs typeface="+mn-cs"/>
            </a:rPr>
            <a:t>is a useful source of information about interpretting</a:t>
          </a:r>
          <a:r>
            <a:rPr lang="en-GB" sz="1100" baseline="0">
              <a:solidFill>
                <a:schemeClr val="dk1"/>
              </a:solidFill>
              <a:effectLst/>
              <a:latin typeface="+mn-lt"/>
              <a:ea typeface="+mn-ea"/>
              <a:cs typeface="+mn-cs"/>
            </a:rPr>
            <a:t> the Environmental Permitting Regulations. It includes guidance about claiming commercial confidentiality if you think this is relevent for your activities.</a:t>
          </a:r>
          <a:endParaRPr lang="en-GB">
            <a:effectLst/>
          </a:endParaRPr>
        </a:p>
        <a:p>
          <a:endParaRPr lang="en-GB" sz="1100"/>
        </a:p>
      </xdr:txBody>
    </xdr:sp>
    <xdr:clientData/>
  </xdr:twoCellAnchor>
  <xdr:twoCellAnchor>
    <xdr:from>
      <xdr:col>2</xdr:col>
      <xdr:colOff>561975</xdr:colOff>
      <xdr:row>3</xdr:row>
      <xdr:rowOff>133350</xdr:rowOff>
    </xdr:from>
    <xdr:to>
      <xdr:col>11</xdr:col>
      <xdr:colOff>419100</xdr:colOff>
      <xdr:row>6</xdr:row>
      <xdr:rowOff>76200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781175" y="704850"/>
          <a:ext cx="5419725" cy="514350"/>
        </a:xfrm>
        <a:prstGeom prst="rect">
          <a:avLst/>
        </a:prstGeom>
        <a:solidFill>
          <a:schemeClr val="lt1"/>
        </a:solidFill>
        <a:ln w="222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Please note </a:t>
          </a:r>
          <a:r>
            <a:rPr lang="en-GB" sz="1100"/>
            <a:t>that OPRA</a:t>
          </a:r>
          <a:r>
            <a:rPr lang="en-GB" sz="1100" baseline="0"/>
            <a:t> is now only used for annual subsistence charges. You do still need to review your OPRA profile regularly to ensure that you are paying the correct charge</a:t>
          </a:r>
          <a:endParaRPr lang="en-GB"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398992</xdr:colOff>
      <xdr:row>136</xdr:row>
      <xdr:rowOff>114300</xdr:rowOff>
    </xdr:from>
    <xdr:to>
      <xdr:col>6</xdr:col>
      <xdr:colOff>854075</xdr:colOff>
      <xdr:row>153</xdr:row>
      <xdr:rowOff>171450</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247650</xdr:colOff>
      <xdr:row>3</xdr:row>
      <xdr:rowOff>95250</xdr:rowOff>
    </xdr:from>
    <xdr:to>
      <xdr:col>9</xdr:col>
      <xdr:colOff>333375</xdr:colOff>
      <xdr:row>7</xdr:row>
      <xdr:rowOff>57150</xdr:rowOff>
    </xdr:to>
    <xdr:pic>
      <xdr:nvPicPr>
        <xdr:cNvPr id="6" name="Picture 7" descr="NRW.png" hidden="1">
          <a:extLst>
            <a:ext uri="{FF2B5EF4-FFF2-40B4-BE49-F238E27FC236}">
              <a16:creationId xmlns:a16="http://schemas.microsoft.com/office/drawing/2014/main" id="{00000000-0008-0000-0E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05625" y="590550"/>
          <a:ext cx="1666875" cy="7239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581025</xdr:colOff>
      <xdr:row>3</xdr:row>
      <xdr:rowOff>85725</xdr:rowOff>
    </xdr:from>
    <xdr:to>
      <xdr:col>9</xdr:col>
      <xdr:colOff>504825</xdr:colOff>
      <xdr:row>8</xdr:row>
      <xdr:rowOff>38100</xdr:rowOff>
    </xdr:to>
    <xdr:pic>
      <xdr:nvPicPr>
        <xdr:cNvPr id="7" name="Picture 3" descr="NRW.jpg">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15150" y="676275"/>
          <a:ext cx="1504950" cy="1019175"/>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542925</xdr:colOff>
      <xdr:row>24</xdr:row>
      <xdr:rowOff>9525</xdr:rowOff>
    </xdr:from>
    <xdr:to>
      <xdr:col>3</xdr:col>
      <xdr:colOff>971550</xdr:colOff>
      <xdr:row>28</xdr:row>
      <xdr:rowOff>114300</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1152525" y="5095875"/>
          <a:ext cx="2952750" cy="9144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OPRA is now only used to</a:t>
          </a:r>
          <a:r>
            <a:rPr lang="en-GB" sz="1100" baseline="0"/>
            <a:t> calculate</a:t>
          </a:r>
          <a:r>
            <a:rPr lang="en-GB" sz="1100"/>
            <a:t> annual subsistence charges. </a:t>
          </a:r>
        </a:p>
        <a:p>
          <a:r>
            <a:rPr lang="en-GB" sz="1100"/>
            <a:t>Details</a:t>
          </a:r>
          <a:r>
            <a:rPr lang="en-GB" sz="1100" baseline="0"/>
            <a:t> of charges, and our new application charge tool can be found on our website </a:t>
          </a:r>
          <a:r>
            <a:rPr lang="en-GB" sz="1100"/>
            <a:t> </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31</xdr:col>
      <xdr:colOff>9525</xdr:colOff>
      <xdr:row>15</xdr:row>
      <xdr:rowOff>142875</xdr:rowOff>
    </xdr:from>
    <xdr:to>
      <xdr:col>41</xdr:col>
      <xdr:colOff>190500</xdr:colOff>
      <xdr:row>50</xdr:row>
      <xdr:rowOff>19050</xdr:rowOff>
    </xdr:to>
    <xdr:pic>
      <xdr:nvPicPr>
        <xdr:cNvPr id="3" name="Picture 2">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55200" y="3952875"/>
          <a:ext cx="6276975" cy="6543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152400</xdr:colOff>
      <xdr:row>0</xdr:row>
      <xdr:rowOff>28575</xdr:rowOff>
    </xdr:from>
    <xdr:to>
      <xdr:col>53</xdr:col>
      <xdr:colOff>457200</xdr:colOff>
      <xdr:row>14</xdr:row>
      <xdr:rowOff>38100</xdr:rowOff>
    </xdr:to>
    <xdr:pic>
      <xdr:nvPicPr>
        <xdr:cNvPr id="15" name="Picture 14">
          <a:extLst>
            <a:ext uri="{FF2B5EF4-FFF2-40B4-BE49-F238E27FC236}">
              <a16:creationId xmlns:a16="http://schemas.microsoft.com/office/drawing/2014/main" id="{00000000-0008-0000-0F00-00000F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364950" y="28575"/>
          <a:ext cx="7620000" cy="381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38100</xdr:colOff>
      <xdr:row>3</xdr:row>
      <xdr:rowOff>0</xdr:rowOff>
    </xdr:from>
    <xdr:to>
      <xdr:col>11</xdr:col>
      <xdr:colOff>525992</xdr:colOff>
      <xdr:row>6</xdr:row>
      <xdr:rowOff>104775</xdr:rowOff>
    </xdr:to>
    <xdr:pic>
      <xdr:nvPicPr>
        <xdr:cNvPr id="5" name="Picture 7" descr="NRW.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2700" y="333375"/>
          <a:ext cx="1590675" cy="6762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752475</xdr:colOff>
      <xdr:row>3</xdr:row>
      <xdr:rowOff>155575</xdr:rowOff>
    </xdr:from>
    <xdr:to>
      <xdr:col>12</xdr:col>
      <xdr:colOff>325967</xdr:colOff>
      <xdr:row>8</xdr:row>
      <xdr:rowOff>65616</xdr:rowOff>
    </xdr:to>
    <xdr:pic>
      <xdr:nvPicPr>
        <xdr:cNvPr id="6" name="Picture 3" descr="NRW.jpg">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85642" y="737658"/>
          <a:ext cx="1298575" cy="904875"/>
        </a:xfrm>
        <a:prstGeom prst="rect">
          <a:avLst/>
        </a:prstGeom>
        <a:noFill/>
        <a:ln w="190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92075</xdr:colOff>
      <xdr:row>3</xdr:row>
      <xdr:rowOff>210610</xdr:rowOff>
    </xdr:from>
    <xdr:to>
      <xdr:col>11</xdr:col>
      <xdr:colOff>849841</xdr:colOff>
      <xdr:row>3</xdr:row>
      <xdr:rowOff>919692</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4502150" y="1153585"/>
          <a:ext cx="5891741" cy="70908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a:t>You only need to answer the question</a:t>
          </a:r>
          <a:r>
            <a:rPr lang="en-GB" sz="1200" b="1" baseline="0"/>
            <a:t> about the size of your site on this page. </a:t>
          </a:r>
        </a:p>
        <a:p>
          <a:endParaRPr lang="en-GB" sz="1200" baseline="0"/>
        </a:p>
        <a:p>
          <a:r>
            <a:rPr lang="en-GB" sz="1200" baseline="0"/>
            <a:t>All the tables below are for information only to show how any relevant rules are applied.</a:t>
          </a:r>
        </a:p>
        <a:p>
          <a:r>
            <a:rPr lang="en-GB" sz="1100" baseline="0"/>
            <a:t> </a:t>
          </a:r>
          <a:endParaRPr lang="en-GB" sz="11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373380</xdr:colOff>
          <xdr:row>5</xdr:row>
          <xdr:rowOff>144780</xdr:rowOff>
        </xdr:from>
        <xdr:to>
          <xdr:col>6</xdr:col>
          <xdr:colOff>289560</xdr:colOff>
          <xdr:row>5</xdr:row>
          <xdr:rowOff>365760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182880</xdr:colOff>
          <xdr:row>6</xdr:row>
          <xdr:rowOff>144780</xdr:rowOff>
        </xdr:from>
        <xdr:to>
          <xdr:col>5</xdr:col>
          <xdr:colOff>289560</xdr:colOff>
          <xdr:row>6</xdr:row>
          <xdr:rowOff>365760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182880</xdr:colOff>
          <xdr:row>6</xdr:row>
          <xdr:rowOff>144780</xdr:rowOff>
        </xdr:from>
        <xdr:to>
          <xdr:col>6</xdr:col>
          <xdr:colOff>289560</xdr:colOff>
          <xdr:row>6</xdr:row>
          <xdr:rowOff>365760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106680</xdr:colOff>
          <xdr:row>5</xdr:row>
          <xdr:rowOff>175260</xdr:rowOff>
        </xdr:from>
        <xdr:to>
          <xdr:col>6</xdr:col>
          <xdr:colOff>175260</xdr:colOff>
          <xdr:row>5</xdr:row>
          <xdr:rowOff>381000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8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6</xdr:col>
      <xdr:colOff>9525</xdr:colOff>
      <xdr:row>6</xdr:row>
      <xdr:rowOff>0</xdr:rowOff>
    </xdr:from>
    <xdr:to>
      <xdr:col>11</xdr:col>
      <xdr:colOff>571500</xdr:colOff>
      <xdr:row>15</xdr:row>
      <xdr:rowOff>142875</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18</xdr:row>
      <xdr:rowOff>76200</xdr:rowOff>
    </xdr:from>
    <xdr:to>
      <xdr:col>11</xdr:col>
      <xdr:colOff>561975</xdr:colOff>
      <xdr:row>31</xdr:row>
      <xdr:rowOff>133350</xdr:rowOff>
    </xdr:to>
    <xdr:graphicFrame macro="">
      <xdr:nvGraphicFramePr>
        <xdr:cNvPr id="3" name="Chart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571500</xdr:colOff>
      <xdr:row>52</xdr:row>
      <xdr:rowOff>0</xdr:rowOff>
    </xdr:from>
    <xdr:to>
      <xdr:col>5</xdr:col>
      <xdr:colOff>571500</xdr:colOff>
      <xdr:row>66</xdr:row>
      <xdr:rowOff>171450</xdr:rowOff>
    </xdr:to>
    <xdr:graphicFrame macro="">
      <xdr:nvGraphicFramePr>
        <xdr:cNvPr id="3" name="Chart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200a4917aac3431/Documents/EPR_BL7108IM_V016_OPRA%2020061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ed Activities"/>
      <sheetName val="Other Activities"/>
      <sheetName val="Complexities"/>
      <sheetName val="Air"/>
      <sheetName val="Water"/>
      <sheetName val="Land"/>
      <sheetName val="Sewer"/>
      <sheetName val="Waste"/>
      <sheetName val="Emissions Summary"/>
      <sheetName val="Location"/>
      <sheetName val="Op Perf"/>
      <sheetName val="EP Summary"/>
      <sheetName val="Calculation"/>
      <sheetName val="Compliance Rating"/>
      <sheetName val="XML Data"/>
      <sheetName val="Amendment record"/>
      <sheetName val="Lookup"/>
    </sheetNames>
    <sheetDataSet>
      <sheetData sheetId="0"/>
      <sheetData sheetId="1"/>
      <sheetData sheetId="2"/>
      <sheetData sheetId="3"/>
      <sheetData sheetId="4"/>
      <sheetData sheetId="5"/>
      <sheetData sheetId="6"/>
      <sheetData sheetId="7"/>
      <sheetData sheetId="8"/>
      <sheetData sheetId="9">
        <row r="8">
          <cell r="C8" t="str">
            <v>Air</v>
          </cell>
        </row>
        <row r="9">
          <cell r="C9" t="str">
            <v>Water</v>
          </cell>
        </row>
        <row r="10">
          <cell r="C10" t="str">
            <v>Land</v>
          </cell>
        </row>
        <row r="11">
          <cell r="C11" t="str">
            <v>Sewer</v>
          </cell>
        </row>
        <row r="12">
          <cell r="C12" t="str">
            <v>Waste Off Site</v>
          </cell>
        </row>
        <row r="13">
          <cell r="C13" t="str">
            <v>Waste Input</v>
          </cell>
        </row>
        <row r="22">
          <cell r="C22" t="str">
            <v>Air</v>
          </cell>
        </row>
        <row r="23">
          <cell r="C23" t="str">
            <v>Water</v>
          </cell>
        </row>
        <row r="24">
          <cell r="C24" t="str">
            <v>Land</v>
          </cell>
        </row>
        <row r="25">
          <cell r="C25" t="str">
            <v>Sewer</v>
          </cell>
        </row>
        <row r="26">
          <cell r="C26" t="str">
            <v>Waste Off Site</v>
          </cell>
        </row>
        <row r="27">
          <cell r="C27" t="str">
            <v>Waste Input</v>
          </cell>
        </row>
      </sheetData>
      <sheetData sheetId="10">
        <row r="49">
          <cell r="C49" t="str">
            <v xml:space="preserve">Occupation </v>
          </cell>
        </row>
        <row r="50">
          <cell r="C50" t="str">
            <v>Habitats</v>
          </cell>
        </row>
        <row r="51">
          <cell r="C51" t="str">
            <v>Aquifers</v>
          </cell>
        </row>
        <row r="52">
          <cell r="C52" t="str">
            <v>Receiving Waters</v>
          </cell>
        </row>
        <row r="53">
          <cell r="C53" t="str">
            <v>Run Off</v>
          </cell>
        </row>
        <row r="54">
          <cell r="C54" t="str">
            <v>Air Quality</v>
          </cell>
        </row>
        <row r="55">
          <cell r="C55" t="str">
            <v>Flood Plain</v>
          </cell>
        </row>
      </sheetData>
      <sheetData sheetId="11">
        <row r="158">
          <cell r="D158" t="str">
            <v>Maintenance 20%</v>
          </cell>
        </row>
        <row r="159">
          <cell r="D159" t="str">
            <v>Training 20%</v>
          </cell>
        </row>
        <row r="160">
          <cell r="D160" t="str">
            <v>Emergency Planning 20%</v>
          </cell>
        </row>
        <row r="161">
          <cell r="D161" t="str">
            <v>Organisation 40%</v>
          </cell>
        </row>
        <row r="162">
          <cell r="D162" t="str">
            <v>Enforcement History Penalty -up to 40%</v>
          </cell>
        </row>
        <row r="163">
          <cell r="D163" t="str">
            <v>Overall average weighted score</v>
          </cell>
        </row>
      </sheetData>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5.bin"/><Relationship Id="rId1" Type="http://schemas.openxmlformats.org/officeDocument/2006/relationships/hyperlink" Target="https://naturalresources.wales/evidence-and-data/research-and-reports/water-reports/river-basin-management-plans/river-basin-management-plans-published/?lang=en"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naturalresources.wales/about-us/what-we-do/what-we-regulate/our-charges/our-charges/?lang=en" TargetMode="Externa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gov.uk/government/publications/environmental-permitting-guidance-core-guidance--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4.x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5.xml"/><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3.xml"/><Relationship Id="rId2" Type="http://schemas.openxmlformats.org/officeDocument/2006/relationships/vmlDrawing" Target="../drawings/vmlDrawing3.v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4.vml"/><Relationship Id="rId1" Type="http://schemas.openxmlformats.org/officeDocument/2006/relationships/drawing" Target="../drawings/drawing7.xm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7D9E2-5845-44C1-9A24-073F3316D0AA}">
  <sheetPr>
    <tabColor rgb="FFFF0000"/>
  </sheetPr>
  <dimension ref="A1:R33"/>
  <sheetViews>
    <sheetView workbookViewId="0">
      <selection activeCell="U23" sqref="U23"/>
    </sheetView>
  </sheetViews>
  <sheetFormatPr defaultRowHeight="14.4" x14ac:dyDescent="0.3"/>
  <cols>
    <col min="4" max="4" width="10.21875" customWidth="1"/>
  </cols>
  <sheetData>
    <row r="1" spans="1:18" x14ac:dyDescent="0.3">
      <c r="A1" s="382"/>
      <c r="B1" s="382"/>
      <c r="C1" s="494" t="s">
        <v>1</v>
      </c>
      <c r="D1" s="739" t="s">
        <v>788</v>
      </c>
      <c r="E1" s="739"/>
      <c r="F1" s="495"/>
      <c r="G1" s="493"/>
      <c r="H1" s="493"/>
      <c r="I1" s="493"/>
      <c r="J1" s="740" t="s">
        <v>790</v>
      </c>
      <c r="K1" s="741"/>
      <c r="L1" s="741"/>
      <c r="M1" s="741"/>
      <c r="N1" s="741"/>
      <c r="O1" s="742"/>
      <c r="P1" s="382"/>
      <c r="Q1" s="382"/>
      <c r="R1" s="382"/>
    </row>
    <row r="2" spans="1:18" x14ac:dyDescent="0.3">
      <c r="A2" s="382"/>
      <c r="B2" s="382"/>
      <c r="C2" s="382"/>
      <c r="D2" s="382"/>
      <c r="E2" s="382"/>
      <c r="F2" s="382"/>
      <c r="G2" s="382"/>
      <c r="H2" s="382"/>
      <c r="I2" s="382"/>
      <c r="J2" s="382"/>
      <c r="K2" s="382"/>
      <c r="L2" s="382"/>
      <c r="M2" s="382"/>
      <c r="N2" s="382"/>
      <c r="O2" s="382"/>
      <c r="P2" s="382"/>
      <c r="Q2" s="382"/>
      <c r="R2" s="382"/>
    </row>
    <row r="3" spans="1:18" x14ac:dyDescent="0.3">
      <c r="A3" s="382"/>
      <c r="B3" s="382"/>
      <c r="C3" s="382"/>
      <c r="D3" s="382"/>
      <c r="E3" s="382"/>
      <c r="F3" s="382"/>
      <c r="G3" s="382"/>
      <c r="H3" s="382"/>
      <c r="I3" s="382"/>
      <c r="J3" s="382"/>
      <c r="K3" s="382"/>
      <c r="L3" s="382"/>
      <c r="M3" s="382"/>
      <c r="N3" s="382"/>
      <c r="O3" s="382"/>
      <c r="P3" s="382"/>
      <c r="Q3" s="382"/>
      <c r="R3" s="382"/>
    </row>
    <row r="4" spans="1:18" x14ac:dyDescent="0.3">
      <c r="A4" s="382"/>
      <c r="B4" s="382"/>
      <c r="C4" s="382"/>
      <c r="D4" s="382"/>
      <c r="E4" s="382"/>
      <c r="F4" s="382"/>
      <c r="G4" s="382"/>
      <c r="H4" s="382"/>
      <c r="I4" s="382"/>
      <c r="J4" s="382"/>
      <c r="K4" s="382"/>
      <c r="L4" s="382"/>
      <c r="M4" s="382"/>
      <c r="N4" s="382"/>
      <c r="O4" s="382"/>
      <c r="P4" s="382"/>
      <c r="Q4" s="382"/>
      <c r="R4" s="382"/>
    </row>
    <row r="5" spans="1:18" x14ac:dyDescent="0.3">
      <c r="A5" s="382"/>
      <c r="B5" s="382"/>
      <c r="C5" s="382"/>
      <c r="D5" s="382"/>
      <c r="E5" s="382"/>
      <c r="F5" s="382"/>
      <c r="G5" s="382"/>
      <c r="H5" s="382"/>
      <c r="I5" s="382"/>
      <c r="J5" s="382"/>
      <c r="K5" s="382"/>
      <c r="L5" s="382"/>
      <c r="M5" s="382"/>
      <c r="N5" s="382"/>
      <c r="O5" s="382"/>
      <c r="P5" s="382"/>
      <c r="Q5" s="382"/>
      <c r="R5" s="382"/>
    </row>
    <row r="6" spans="1:18" x14ac:dyDescent="0.3">
      <c r="A6" s="382"/>
      <c r="B6" s="382"/>
      <c r="C6" s="382"/>
      <c r="D6" s="382"/>
      <c r="E6" s="382"/>
      <c r="F6" s="382"/>
      <c r="G6" s="382"/>
      <c r="H6" s="382"/>
      <c r="I6" s="382"/>
      <c r="J6" s="382"/>
      <c r="K6" s="382"/>
      <c r="L6" s="382"/>
      <c r="M6" s="382"/>
      <c r="N6" s="382"/>
      <c r="O6" s="382"/>
      <c r="P6" s="382"/>
      <c r="Q6" s="382"/>
      <c r="R6" s="382"/>
    </row>
    <row r="7" spans="1:18" x14ac:dyDescent="0.3">
      <c r="A7" s="382"/>
      <c r="B7" s="382"/>
      <c r="C7" s="382"/>
      <c r="D7" s="382"/>
      <c r="E7" s="382"/>
      <c r="F7" s="382"/>
      <c r="G7" s="382"/>
      <c r="H7" s="382"/>
      <c r="I7" s="382"/>
      <c r="J7" s="382"/>
      <c r="K7" s="382"/>
      <c r="L7" s="382"/>
      <c r="M7" s="382"/>
      <c r="N7" s="382"/>
      <c r="O7" s="382"/>
      <c r="P7" s="382"/>
      <c r="Q7" s="382"/>
      <c r="R7" s="382"/>
    </row>
    <row r="8" spans="1:18" x14ac:dyDescent="0.3">
      <c r="A8" s="382"/>
      <c r="B8" s="382"/>
      <c r="C8" s="382"/>
      <c r="D8" s="382"/>
      <c r="E8" s="382"/>
      <c r="F8" s="382"/>
      <c r="G8" s="382"/>
      <c r="H8" s="382"/>
      <c r="I8" s="382"/>
      <c r="J8" s="382"/>
      <c r="K8" s="382"/>
      <c r="L8" s="382"/>
      <c r="M8" s="382"/>
      <c r="N8" s="382"/>
      <c r="O8" s="382"/>
      <c r="P8" s="382"/>
      <c r="Q8" s="382"/>
      <c r="R8" s="382"/>
    </row>
    <row r="9" spans="1:18" x14ac:dyDescent="0.3">
      <c r="A9" s="382"/>
      <c r="B9" s="382"/>
      <c r="C9" s="382"/>
      <c r="D9" s="382"/>
      <c r="E9" s="382"/>
      <c r="F9" s="382"/>
      <c r="G9" s="382"/>
      <c r="H9" s="382"/>
      <c r="I9" s="382"/>
      <c r="J9" s="382"/>
      <c r="K9" s="382"/>
      <c r="L9" s="382"/>
      <c r="M9" s="382"/>
      <c r="N9" s="382"/>
      <c r="O9" s="382"/>
      <c r="P9" s="382"/>
      <c r="Q9" s="382"/>
      <c r="R9" s="382"/>
    </row>
    <row r="10" spans="1:18" x14ac:dyDescent="0.3">
      <c r="A10" s="382"/>
      <c r="B10" s="382"/>
      <c r="C10" s="382"/>
      <c r="D10" s="382"/>
      <c r="E10" s="382"/>
      <c r="F10" s="382"/>
      <c r="G10" s="382"/>
      <c r="H10" s="382"/>
      <c r="I10" s="382"/>
      <c r="J10" s="382"/>
      <c r="K10" s="382"/>
      <c r="L10" s="382"/>
      <c r="M10" s="382"/>
      <c r="N10" s="382"/>
      <c r="O10" s="382"/>
      <c r="P10" s="382"/>
      <c r="Q10" s="382"/>
      <c r="R10" s="382"/>
    </row>
    <row r="11" spans="1:18" x14ac:dyDescent="0.3">
      <c r="A11" s="382"/>
      <c r="B11" s="382"/>
      <c r="C11" s="382"/>
      <c r="D11" s="382"/>
      <c r="E11" s="382"/>
      <c r="F11" s="382"/>
      <c r="G11" s="382"/>
      <c r="H11" s="382"/>
      <c r="I11" s="382"/>
      <c r="J11" s="382"/>
      <c r="K11" s="382"/>
      <c r="L11" s="382"/>
      <c r="M11" s="382"/>
      <c r="N11" s="382"/>
      <c r="O11" s="382"/>
      <c r="P11" s="382"/>
      <c r="Q11" s="382"/>
      <c r="R11" s="382"/>
    </row>
    <row r="12" spans="1:18" x14ac:dyDescent="0.3">
      <c r="A12" s="382"/>
      <c r="B12" s="382"/>
      <c r="C12" s="382"/>
      <c r="D12" s="382"/>
      <c r="E12" s="382"/>
      <c r="F12" s="382"/>
      <c r="G12" s="382"/>
      <c r="H12" s="382"/>
      <c r="I12" s="382"/>
      <c r="J12" s="382"/>
      <c r="K12" s="382"/>
      <c r="L12" s="382"/>
      <c r="M12" s="382"/>
      <c r="N12" s="382"/>
      <c r="O12" s="382"/>
      <c r="P12" s="382"/>
      <c r="Q12" s="382"/>
      <c r="R12" s="382"/>
    </row>
    <row r="13" spans="1:18" x14ac:dyDescent="0.3">
      <c r="A13" s="382"/>
      <c r="B13" s="382"/>
      <c r="C13" s="382"/>
      <c r="D13" s="382"/>
      <c r="E13" s="382"/>
      <c r="F13" s="382"/>
      <c r="G13" s="382"/>
      <c r="H13" s="382"/>
      <c r="I13" s="382"/>
      <c r="J13" s="382"/>
      <c r="K13" s="382"/>
      <c r="L13" s="382"/>
      <c r="M13" s="382"/>
      <c r="N13" s="382"/>
      <c r="O13" s="382"/>
      <c r="P13" s="382"/>
      <c r="Q13" s="382"/>
      <c r="R13" s="382"/>
    </row>
    <row r="14" spans="1:18" x14ac:dyDescent="0.3">
      <c r="A14" s="382"/>
      <c r="B14" s="382"/>
      <c r="C14" s="382"/>
      <c r="D14" s="382"/>
      <c r="E14" s="382"/>
      <c r="F14" s="382"/>
      <c r="G14" s="382"/>
      <c r="H14" s="382"/>
      <c r="I14" s="382"/>
      <c r="J14" s="382"/>
      <c r="K14" s="382"/>
      <c r="L14" s="382"/>
      <c r="M14" s="382"/>
      <c r="N14" s="382"/>
      <c r="O14" s="382"/>
      <c r="P14" s="382"/>
      <c r="Q14" s="382"/>
      <c r="R14" s="382"/>
    </row>
    <row r="15" spans="1:18" x14ac:dyDescent="0.3">
      <c r="A15" s="382"/>
      <c r="B15" s="382"/>
      <c r="C15" s="382"/>
      <c r="D15" s="382"/>
      <c r="E15" s="382"/>
      <c r="F15" s="382"/>
      <c r="G15" s="382"/>
      <c r="H15" s="382"/>
      <c r="I15" s="382"/>
      <c r="J15" s="382"/>
      <c r="K15" s="382"/>
      <c r="L15" s="382"/>
      <c r="M15" s="382"/>
      <c r="N15" s="382"/>
      <c r="O15" s="382"/>
      <c r="P15" s="382"/>
      <c r="Q15" s="382"/>
      <c r="R15" s="382"/>
    </row>
    <row r="16" spans="1:18" x14ac:dyDescent="0.3">
      <c r="A16" s="382"/>
      <c r="B16" s="382"/>
      <c r="C16" s="382"/>
      <c r="D16" s="382"/>
      <c r="E16" s="382"/>
      <c r="F16" s="382"/>
      <c r="G16" s="382"/>
      <c r="H16" s="382"/>
      <c r="I16" s="382"/>
      <c r="J16" s="382"/>
      <c r="K16" s="382"/>
      <c r="L16" s="382"/>
      <c r="M16" s="382"/>
      <c r="N16" s="382"/>
      <c r="O16" s="382"/>
      <c r="P16" s="382"/>
      <c r="Q16" s="382"/>
      <c r="R16" s="382"/>
    </row>
    <row r="17" spans="1:18" x14ac:dyDescent="0.3">
      <c r="A17" s="382"/>
      <c r="B17" s="382"/>
      <c r="C17" s="382"/>
      <c r="D17" s="382"/>
      <c r="E17" s="382"/>
      <c r="F17" s="382"/>
      <c r="G17" s="382"/>
      <c r="H17" s="382"/>
      <c r="I17" s="382"/>
      <c r="J17" s="382"/>
      <c r="K17" s="382"/>
      <c r="L17" s="382"/>
      <c r="M17" s="382"/>
      <c r="N17" s="382"/>
      <c r="O17" s="382"/>
      <c r="P17" s="382"/>
      <c r="Q17" s="382"/>
      <c r="R17" s="382"/>
    </row>
    <row r="18" spans="1:18" x14ac:dyDescent="0.3">
      <c r="A18" s="382"/>
      <c r="B18" s="382"/>
      <c r="C18" s="382"/>
      <c r="D18" s="382"/>
      <c r="E18" s="382"/>
      <c r="F18" s="382"/>
      <c r="G18" s="382"/>
      <c r="H18" s="382"/>
      <c r="I18" s="382"/>
      <c r="J18" s="382"/>
      <c r="K18" s="382"/>
      <c r="L18" s="382"/>
      <c r="M18" s="382"/>
      <c r="N18" s="382"/>
      <c r="O18" s="382"/>
      <c r="P18" s="382"/>
      <c r="Q18" s="382"/>
      <c r="R18" s="382"/>
    </row>
    <row r="19" spans="1:18" x14ac:dyDescent="0.3">
      <c r="A19" s="382"/>
      <c r="B19" s="382"/>
      <c r="C19" s="382"/>
      <c r="D19" s="382"/>
      <c r="E19" s="382"/>
      <c r="F19" s="382"/>
      <c r="G19" s="382"/>
      <c r="H19" s="382"/>
      <c r="I19" s="382"/>
      <c r="J19" s="382"/>
      <c r="K19" s="382"/>
      <c r="L19" s="382"/>
      <c r="M19" s="382"/>
      <c r="N19" s="382"/>
      <c r="O19" s="382"/>
      <c r="P19" s="382"/>
      <c r="Q19" s="382"/>
      <c r="R19" s="382"/>
    </row>
    <row r="20" spans="1:18" x14ac:dyDescent="0.3">
      <c r="A20" s="382"/>
      <c r="B20" s="382"/>
      <c r="C20" s="382"/>
      <c r="D20" s="382"/>
      <c r="E20" s="382"/>
      <c r="F20" s="382"/>
      <c r="G20" s="382"/>
      <c r="H20" s="382"/>
      <c r="I20" s="382"/>
      <c r="J20" s="382"/>
      <c r="K20" s="382"/>
      <c r="L20" s="382"/>
      <c r="M20" s="382"/>
      <c r="N20" s="382"/>
      <c r="O20" s="382"/>
      <c r="P20" s="382"/>
      <c r="Q20" s="382"/>
      <c r="R20" s="382"/>
    </row>
    <row r="21" spans="1:18" x14ac:dyDescent="0.3">
      <c r="A21" s="382"/>
      <c r="B21" s="382"/>
      <c r="C21" s="382"/>
      <c r="D21" s="382"/>
      <c r="E21" s="382"/>
      <c r="F21" s="382"/>
      <c r="G21" s="382"/>
      <c r="H21" s="382"/>
      <c r="I21" s="382"/>
      <c r="J21" s="382"/>
      <c r="K21" s="382"/>
      <c r="L21" s="382"/>
      <c r="M21" s="382"/>
      <c r="N21" s="382"/>
      <c r="O21" s="382"/>
      <c r="P21" s="382"/>
      <c r="Q21" s="382"/>
      <c r="R21" s="382"/>
    </row>
    <row r="22" spans="1:18" x14ac:dyDescent="0.3">
      <c r="A22" s="382"/>
      <c r="B22" s="382"/>
      <c r="C22" s="382"/>
      <c r="D22" s="382"/>
      <c r="E22" s="382"/>
      <c r="F22" s="382"/>
      <c r="G22" s="382"/>
      <c r="H22" s="382"/>
      <c r="I22" s="382"/>
      <c r="J22" s="382"/>
      <c r="K22" s="382"/>
      <c r="L22" s="382"/>
      <c r="M22" s="382"/>
      <c r="N22" s="382"/>
      <c r="O22" s="382"/>
      <c r="P22" s="382"/>
      <c r="Q22" s="382"/>
      <c r="R22" s="382"/>
    </row>
    <row r="23" spans="1:18" x14ac:dyDescent="0.3">
      <c r="A23" s="382"/>
      <c r="B23" s="382"/>
      <c r="C23" s="382"/>
      <c r="D23" s="382"/>
      <c r="E23" s="382"/>
      <c r="F23" s="382"/>
      <c r="G23" s="382"/>
      <c r="H23" s="382"/>
      <c r="I23" s="382"/>
      <c r="J23" s="382"/>
      <c r="K23" s="382"/>
      <c r="L23" s="382"/>
      <c r="M23" s="382"/>
      <c r="N23" s="382"/>
      <c r="O23" s="382"/>
      <c r="P23" s="382"/>
      <c r="Q23" s="382"/>
      <c r="R23" s="382"/>
    </row>
    <row r="24" spans="1:18" x14ac:dyDescent="0.3">
      <c r="A24" s="382"/>
      <c r="B24" s="382"/>
      <c r="C24" s="382"/>
      <c r="D24" s="382"/>
      <c r="E24" s="382"/>
      <c r="F24" s="382"/>
      <c r="G24" s="382"/>
      <c r="H24" s="382"/>
      <c r="I24" s="382"/>
      <c r="J24" s="382"/>
      <c r="K24" s="382"/>
      <c r="L24" s="382"/>
      <c r="M24" s="382"/>
      <c r="N24" s="382"/>
      <c r="O24" s="382"/>
      <c r="P24" s="382"/>
      <c r="Q24" s="382"/>
      <c r="R24" s="382"/>
    </row>
    <row r="25" spans="1:18" x14ac:dyDescent="0.3">
      <c r="A25" s="382"/>
      <c r="B25" s="382"/>
      <c r="C25" s="382"/>
      <c r="D25" s="382"/>
      <c r="E25" s="382"/>
      <c r="F25" s="382"/>
      <c r="G25" s="382"/>
      <c r="H25" s="382"/>
      <c r="I25" s="382"/>
      <c r="J25" s="382"/>
      <c r="K25" s="382"/>
      <c r="L25" s="382"/>
      <c r="M25" s="382"/>
      <c r="N25" s="382"/>
      <c r="O25" s="382"/>
      <c r="P25" s="382"/>
      <c r="Q25" s="382"/>
      <c r="R25" s="382"/>
    </row>
    <row r="26" spans="1:18" x14ac:dyDescent="0.3">
      <c r="A26" s="382"/>
      <c r="B26" s="382"/>
      <c r="C26" s="382"/>
      <c r="D26" s="382"/>
      <c r="E26" s="382"/>
      <c r="F26" s="382"/>
      <c r="G26" s="382"/>
      <c r="H26" s="382"/>
      <c r="I26" s="382"/>
      <c r="J26" s="382"/>
      <c r="K26" s="382"/>
      <c r="L26" s="382"/>
      <c r="M26" s="382"/>
      <c r="N26" s="382"/>
      <c r="O26" s="382"/>
      <c r="P26" s="382"/>
      <c r="Q26" s="382"/>
      <c r="R26" s="382"/>
    </row>
    <row r="27" spans="1:18" x14ac:dyDescent="0.3">
      <c r="A27" s="382"/>
      <c r="B27" s="382"/>
      <c r="C27" s="382"/>
      <c r="D27" s="382"/>
      <c r="E27" s="382"/>
      <c r="F27" s="382"/>
      <c r="G27" s="382"/>
      <c r="H27" s="382"/>
      <c r="I27" s="382"/>
      <c r="J27" s="382"/>
      <c r="K27" s="382"/>
      <c r="L27" s="382"/>
      <c r="M27" s="382"/>
      <c r="N27" s="382"/>
      <c r="O27" s="382"/>
      <c r="P27" s="382"/>
      <c r="Q27" s="382"/>
      <c r="R27" s="382"/>
    </row>
    <row r="28" spans="1:18" x14ac:dyDescent="0.3">
      <c r="A28" s="382"/>
      <c r="B28" s="382"/>
      <c r="C28" s="382"/>
      <c r="D28" s="382"/>
      <c r="E28" s="382"/>
      <c r="F28" s="382"/>
      <c r="G28" s="382"/>
      <c r="H28" s="382"/>
      <c r="I28" s="382"/>
      <c r="J28" s="382"/>
      <c r="K28" s="382"/>
      <c r="L28" s="382"/>
      <c r="M28" s="382"/>
      <c r="N28" s="382"/>
      <c r="O28" s="382"/>
      <c r="P28" s="382"/>
      <c r="Q28" s="382"/>
      <c r="R28" s="382"/>
    </row>
    <row r="29" spans="1:18" x14ac:dyDescent="0.3">
      <c r="A29" s="382"/>
      <c r="B29" s="382"/>
      <c r="C29" s="382"/>
      <c r="D29" s="382"/>
      <c r="E29" s="382"/>
      <c r="F29" s="382"/>
      <c r="G29" s="382"/>
      <c r="H29" s="382"/>
      <c r="I29" s="382"/>
      <c r="J29" s="382"/>
      <c r="K29" s="382"/>
      <c r="L29" s="382"/>
      <c r="M29" s="382"/>
      <c r="N29" s="382"/>
      <c r="O29" s="382"/>
      <c r="P29" s="382"/>
      <c r="Q29" s="382"/>
      <c r="R29" s="382"/>
    </row>
    <row r="30" spans="1:18" x14ac:dyDescent="0.3">
      <c r="A30" s="382"/>
      <c r="B30" s="382"/>
      <c r="C30" s="382"/>
      <c r="D30" s="382"/>
      <c r="E30" s="382"/>
      <c r="F30" s="382"/>
      <c r="G30" s="382"/>
      <c r="H30" s="382"/>
      <c r="I30" s="382"/>
      <c r="J30" s="382"/>
      <c r="K30" s="382"/>
      <c r="L30" s="382"/>
      <c r="M30" s="382"/>
      <c r="N30" s="382"/>
      <c r="O30" s="382"/>
      <c r="P30" s="382"/>
      <c r="Q30" s="382"/>
      <c r="R30" s="382"/>
    </row>
    <row r="31" spans="1:18" x14ac:dyDescent="0.3">
      <c r="A31" s="382"/>
      <c r="B31" s="382"/>
      <c r="C31" s="382"/>
      <c r="D31" s="382"/>
      <c r="E31" s="382"/>
      <c r="F31" s="382"/>
      <c r="G31" s="382"/>
      <c r="H31" s="382"/>
      <c r="I31" s="382"/>
      <c r="J31" s="382"/>
      <c r="K31" s="382"/>
      <c r="L31" s="382"/>
      <c r="M31" s="382"/>
      <c r="N31" s="382"/>
      <c r="O31" s="382"/>
      <c r="P31" s="382"/>
      <c r="Q31" s="382"/>
      <c r="R31" s="382"/>
    </row>
    <row r="32" spans="1:18" x14ac:dyDescent="0.3">
      <c r="A32" s="382"/>
      <c r="B32" s="382"/>
      <c r="C32" s="382"/>
      <c r="D32" s="382"/>
      <c r="E32" s="382"/>
      <c r="F32" s="382"/>
      <c r="G32" s="382"/>
      <c r="H32" s="382"/>
      <c r="I32" s="382"/>
      <c r="J32" s="382"/>
      <c r="K32" s="382"/>
      <c r="L32" s="382"/>
      <c r="M32" s="382"/>
      <c r="N32" s="382"/>
      <c r="O32" s="382"/>
      <c r="P32" s="382"/>
      <c r="Q32" s="382"/>
      <c r="R32" s="382"/>
    </row>
    <row r="33" spans="1:18" x14ac:dyDescent="0.3">
      <c r="A33" s="382"/>
      <c r="B33" s="382"/>
      <c r="C33" s="382"/>
      <c r="D33" s="382"/>
      <c r="E33" s="382"/>
      <c r="F33" s="382"/>
      <c r="G33" s="382"/>
      <c r="H33" s="382"/>
      <c r="I33" s="382"/>
      <c r="J33" s="382"/>
      <c r="K33" s="382"/>
      <c r="L33" s="382"/>
      <c r="M33" s="382"/>
      <c r="N33" s="382"/>
      <c r="O33" s="382"/>
      <c r="P33" s="382"/>
      <c r="Q33" s="382"/>
      <c r="R33" s="382"/>
    </row>
  </sheetData>
  <sheetProtection algorithmName="SHA-512" hashValue="d3DOxWRd2Xen/2IGr5zRoAudcjpVrDiv+1olZ3MSALsek+BjGD1iWq+KbaxtwzU2fg1zWORy1rLpHH3opPFnuQ==" saltValue="01Zmq8jGfn+BvOh3MklWuw==" spinCount="100000" sheet="1" objects="1" scenarios="1"/>
  <mergeCells count="2">
    <mergeCell ref="D1:E1"/>
    <mergeCell ref="J1:O1"/>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D602D-D061-45BF-9AED-C0EBAB835531}">
  <dimension ref="B2:I71"/>
  <sheetViews>
    <sheetView workbookViewId="0">
      <selection activeCell="C45" sqref="C45"/>
    </sheetView>
  </sheetViews>
  <sheetFormatPr defaultRowHeight="14.4" x14ac:dyDescent="0.3"/>
  <cols>
    <col min="3" max="3" width="19.44140625" customWidth="1"/>
    <col min="4" max="4" width="19.5546875" customWidth="1"/>
    <col min="5" max="5" width="11.44140625" customWidth="1"/>
    <col min="6" max="6" width="10.77734375" customWidth="1"/>
    <col min="8" max="8" width="24.21875" customWidth="1"/>
  </cols>
  <sheetData>
    <row r="2" spans="2:9" ht="15" thickBot="1" x14ac:dyDescent="0.35"/>
    <row r="3" spans="2:9" ht="18" thickBot="1" x14ac:dyDescent="0.35">
      <c r="B3" s="135"/>
      <c r="C3" s="860" t="s">
        <v>285</v>
      </c>
      <c r="D3" s="860"/>
      <c r="E3" s="860"/>
      <c r="F3" s="860"/>
      <c r="G3" s="860"/>
      <c r="H3" s="860"/>
      <c r="I3" s="136"/>
    </row>
    <row r="4" spans="2:9" x14ac:dyDescent="0.3">
      <c r="B4" s="4"/>
      <c r="C4" s="5"/>
      <c r="D4" s="5"/>
      <c r="E4" s="5"/>
      <c r="F4" s="5"/>
      <c r="G4" s="5"/>
      <c r="H4" s="51"/>
      <c r="I4" s="6"/>
    </row>
    <row r="5" spans="2:9" x14ac:dyDescent="0.3">
      <c r="B5" s="4"/>
      <c r="C5" s="12" t="s">
        <v>47</v>
      </c>
      <c r="D5" s="31">
        <f>+Introduction!E10</f>
        <v>0</v>
      </c>
      <c r="E5" s="5"/>
      <c r="F5" s="833" t="s">
        <v>98</v>
      </c>
      <c r="G5" s="834"/>
      <c r="H5" s="844"/>
      <c r="I5" s="6"/>
    </row>
    <row r="6" spans="2:9" x14ac:dyDescent="0.3">
      <c r="B6" s="4"/>
      <c r="C6" s="12" t="s">
        <v>795</v>
      </c>
      <c r="D6" s="31">
        <f>+Introduction!K10</f>
        <v>0</v>
      </c>
      <c r="E6" s="5"/>
      <c r="F6" s="836"/>
      <c r="G6" s="837"/>
      <c r="H6" s="845"/>
      <c r="I6" s="6"/>
    </row>
    <row r="7" spans="2:9" x14ac:dyDescent="0.3">
      <c r="B7" s="4"/>
      <c r="C7" s="5"/>
      <c r="D7" s="5"/>
      <c r="E7" s="5"/>
      <c r="F7" s="5"/>
      <c r="G7" s="5"/>
      <c r="H7" s="51"/>
      <c r="I7" s="6"/>
    </row>
    <row r="8" spans="2:9" ht="27" x14ac:dyDescent="0.3">
      <c r="B8" s="4"/>
      <c r="C8" s="12" t="s">
        <v>100</v>
      </c>
      <c r="D8" s="12" t="s">
        <v>101</v>
      </c>
      <c r="E8" s="127" t="s">
        <v>102</v>
      </c>
      <c r="F8" s="127" t="s">
        <v>103</v>
      </c>
      <c r="G8" s="127" t="s">
        <v>104</v>
      </c>
      <c r="H8" s="127" t="s">
        <v>105</v>
      </c>
      <c r="I8" s="6"/>
    </row>
    <row r="9" spans="2:9" x14ac:dyDescent="0.3">
      <c r="B9" s="4"/>
      <c r="C9" s="97" t="s">
        <v>266</v>
      </c>
      <c r="D9" s="98" t="s">
        <v>267</v>
      </c>
      <c r="E9" s="98">
        <v>1000</v>
      </c>
      <c r="F9" s="104"/>
      <c r="G9" s="100">
        <f>IF(F9/E9&lt;1,0,(F9/E9))</f>
        <v>0</v>
      </c>
      <c r="H9" s="137"/>
      <c r="I9" s="6"/>
    </row>
    <row r="10" spans="2:9" ht="28.8" x14ac:dyDescent="0.3">
      <c r="B10" s="4"/>
      <c r="C10" s="108" t="s">
        <v>268</v>
      </c>
      <c r="D10" s="103" t="s">
        <v>267</v>
      </c>
      <c r="E10" s="103">
        <v>350</v>
      </c>
      <c r="F10" s="104"/>
      <c r="G10" s="105">
        <f>IF(F10/E10&lt;1,0,(F10/E10))</f>
        <v>0</v>
      </c>
      <c r="H10" s="125"/>
      <c r="I10" s="6"/>
    </row>
    <row r="11" spans="2:9" x14ac:dyDescent="0.3">
      <c r="B11" s="4"/>
      <c r="C11" s="102" t="s">
        <v>269</v>
      </c>
      <c r="D11" s="103" t="s">
        <v>267</v>
      </c>
      <c r="E11" s="103">
        <v>100</v>
      </c>
      <c r="F11" s="104"/>
      <c r="G11" s="105">
        <f>IF(F11/E11&lt;1,0,(F11/E11))</f>
        <v>0</v>
      </c>
      <c r="H11" s="125"/>
      <c r="I11" s="6"/>
    </row>
    <row r="12" spans="2:9" ht="28.8" x14ac:dyDescent="0.3">
      <c r="B12" s="4"/>
      <c r="C12" s="108" t="s">
        <v>270</v>
      </c>
      <c r="D12" s="103" t="s">
        <v>267</v>
      </c>
      <c r="E12" s="103">
        <v>100</v>
      </c>
      <c r="F12" s="104"/>
      <c r="G12" s="105">
        <f>IF(F12/E12&lt;1,0,(F12/E12))</f>
        <v>0</v>
      </c>
      <c r="H12" s="125"/>
      <c r="I12" s="6"/>
    </row>
    <row r="13" spans="2:9" x14ac:dyDescent="0.3">
      <c r="B13" s="4"/>
      <c r="C13" s="128"/>
      <c r="D13" s="129"/>
      <c r="E13" s="861" t="s">
        <v>94</v>
      </c>
      <c r="F13" s="862"/>
      <c r="G13" s="105">
        <f>SUM(G9:G12)</f>
        <v>0</v>
      </c>
      <c r="H13" s="139"/>
      <c r="I13" s="6"/>
    </row>
    <row r="14" spans="2:9" x14ac:dyDescent="0.3">
      <c r="B14" s="4"/>
      <c r="C14" s="56"/>
      <c r="D14" s="131"/>
      <c r="E14" s="861" t="s">
        <v>281</v>
      </c>
      <c r="F14" s="862"/>
      <c r="G14" s="133">
        <v>0.33</v>
      </c>
      <c r="H14" s="140" t="s">
        <v>282</v>
      </c>
      <c r="I14" s="6"/>
    </row>
    <row r="15" spans="2:9" x14ac:dyDescent="0.3">
      <c r="B15" s="4"/>
      <c r="C15" s="141"/>
      <c r="D15" s="142"/>
      <c r="E15" s="863" t="s">
        <v>283</v>
      </c>
      <c r="F15" s="864"/>
      <c r="G15" s="115">
        <f>G13*G14</f>
        <v>0</v>
      </c>
      <c r="H15" s="143"/>
      <c r="I15" s="6"/>
    </row>
    <row r="16" spans="2:9" x14ac:dyDescent="0.3">
      <c r="B16" s="4"/>
      <c r="C16" s="5"/>
      <c r="D16" s="5"/>
      <c r="E16" s="5"/>
      <c r="F16" s="5"/>
      <c r="G16" s="5"/>
      <c r="H16" s="51"/>
      <c r="I16" s="6"/>
    </row>
    <row r="17" spans="2:9" ht="15" thickBot="1" x14ac:dyDescent="0.35">
      <c r="B17" s="8"/>
      <c r="C17" s="9"/>
      <c r="D17" s="9"/>
      <c r="E17" s="9"/>
      <c r="F17" s="9"/>
      <c r="G17" s="9"/>
      <c r="H17" s="144"/>
      <c r="I17" s="10"/>
    </row>
    <row r="18" spans="2:9" x14ac:dyDescent="0.3">
      <c r="H18" s="145"/>
    </row>
    <row r="19" spans="2:9" x14ac:dyDescent="0.3">
      <c r="H19" s="145"/>
    </row>
    <row r="20" spans="2:9" x14ac:dyDescent="0.3">
      <c r="B20" s="868"/>
      <c r="C20" s="869"/>
      <c r="D20" s="869"/>
      <c r="E20" s="869"/>
      <c r="F20" s="869"/>
      <c r="G20" s="869"/>
      <c r="H20" s="869"/>
      <c r="I20" s="870"/>
    </row>
    <row r="21" spans="2:9" ht="15" thickBot="1" x14ac:dyDescent="0.35">
      <c r="H21" s="145"/>
    </row>
    <row r="22" spans="2:9" ht="18" thickBot="1" x14ac:dyDescent="0.35">
      <c r="B22" s="135"/>
      <c r="C22" s="860" t="s">
        <v>286</v>
      </c>
      <c r="D22" s="860"/>
      <c r="E22" s="860"/>
      <c r="F22" s="860"/>
      <c r="G22" s="860"/>
      <c r="H22" s="860"/>
      <c r="I22" s="136"/>
    </row>
    <row r="23" spans="2:9" x14ac:dyDescent="0.3">
      <c r="B23" s="4"/>
      <c r="C23" s="5"/>
      <c r="D23" s="5"/>
      <c r="E23" s="5"/>
      <c r="F23" s="5"/>
      <c r="G23" s="5"/>
      <c r="H23" s="51"/>
      <c r="I23" s="6"/>
    </row>
    <row r="24" spans="2:9" x14ac:dyDescent="0.3">
      <c r="B24" s="4"/>
      <c r="C24" s="12" t="s">
        <v>725</v>
      </c>
      <c r="D24" s="31">
        <f>D5</f>
        <v>0</v>
      </c>
      <c r="E24" s="5"/>
      <c r="F24" s="833" t="s">
        <v>98</v>
      </c>
      <c r="G24" s="834"/>
      <c r="H24" s="844"/>
      <c r="I24" s="6"/>
    </row>
    <row r="25" spans="2:9" x14ac:dyDescent="0.3">
      <c r="B25" s="4"/>
      <c r="C25" s="12" t="s">
        <v>795</v>
      </c>
      <c r="D25" s="31">
        <f>D6</f>
        <v>0</v>
      </c>
      <c r="E25" s="5"/>
      <c r="F25" s="836"/>
      <c r="G25" s="837"/>
      <c r="H25" s="845"/>
      <c r="I25" s="6"/>
    </row>
    <row r="26" spans="2:9" x14ac:dyDescent="0.3">
      <c r="B26" s="4"/>
      <c r="C26" s="5"/>
      <c r="D26" s="5"/>
      <c r="E26" s="5"/>
      <c r="F26" s="5"/>
      <c r="G26" s="5"/>
      <c r="H26" s="51"/>
      <c r="I26" s="6"/>
    </row>
    <row r="27" spans="2:9" ht="27" x14ac:dyDescent="0.3">
      <c r="B27" s="4"/>
      <c r="C27" s="12" t="s">
        <v>100</v>
      </c>
      <c r="D27" s="12" t="s">
        <v>101</v>
      </c>
      <c r="E27" s="127" t="s">
        <v>102</v>
      </c>
      <c r="F27" s="127" t="s">
        <v>103</v>
      </c>
      <c r="G27" s="127" t="s">
        <v>104</v>
      </c>
      <c r="H27" s="127" t="s">
        <v>105</v>
      </c>
      <c r="I27" s="6"/>
    </row>
    <row r="28" spans="2:9" x14ac:dyDescent="0.3">
      <c r="B28" s="4"/>
      <c r="C28" s="97" t="s">
        <v>266</v>
      </c>
      <c r="D28" s="98" t="s">
        <v>267</v>
      </c>
      <c r="E28" s="98">
        <v>1000</v>
      </c>
      <c r="F28" s="99"/>
      <c r="G28" s="100">
        <f>IF(F28/E28&lt;1,0,(F28/E28))</f>
        <v>0</v>
      </c>
      <c r="H28" s="146"/>
      <c r="I28" s="6"/>
    </row>
    <row r="29" spans="2:9" ht="28.8" x14ac:dyDescent="0.3">
      <c r="B29" s="4"/>
      <c r="C29" s="108" t="s">
        <v>268</v>
      </c>
      <c r="D29" s="103" t="s">
        <v>267</v>
      </c>
      <c r="E29" s="103">
        <v>350</v>
      </c>
      <c r="F29" s="104"/>
      <c r="G29" s="105">
        <f>IF(F29/E29&lt;1,0,(F29/E29))</f>
        <v>0</v>
      </c>
      <c r="H29" s="138"/>
      <c r="I29" s="6"/>
    </row>
    <row r="30" spans="2:9" x14ac:dyDescent="0.3">
      <c r="B30" s="4"/>
      <c r="C30" s="102" t="s">
        <v>269</v>
      </c>
      <c r="D30" s="103" t="s">
        <v>267</v>
      </c>
      <c r="E30" s="103">
        <v>100</v>
      </c>
      <c r="F30" s="104"/>
      <c r="G30" s="105">
        <f>IF(F30/E30&lt;1,0,(F30/E30))</f>
        <v>0</v>
      </c>
      <c r="H30" s="138"/>
      <c r="I30" s="6"/>
    </row>
    <row r="31" spans="2:9" ht="28.8" x14ac:dyDescent="0.3">
      <c r="B31" s="4"/>
      <c r="C31" s="108" t="s">
        <v>270</v>
      </c>
      <c r="D31" s="103" t="s">
        <v>267</v>
      </c>
      <c r="E31" s="103">
        <v>100</v>
      </c>
      <c r="F31" s="104"/>
      <c r="G31" s="105">
        <f>IF(F31/E31&lt;1,0,(F31/E31))</f>
        <v>0</v>
      </c>
      <c r="H31" s="138"/>
      <c r="I31" s="6"/>
    </row>
    <row r="32" spans="2:9" x14ac:dyDescent="0.3">
      <c r="B32" s="4"/>
      <c r="C32" s="147"/>
      <c r="D32" s="129"/>
      <c r="E32" s="148"/>
      <c r="F32" s="109"/>
      <c r="G32" s="149"/>
      <c r="H32" s="139"/>
      <c r="I32" s="6"/>
    </row>
    <row r="33" spans="2:9" x14ac:dyDescent="0.3">
      <c r="B33" s="4"/>
      <c r="C33" s="56"/>
      <c r="D33" s="131"/>
      <c r="E33" s="861" t="s">
        <v>94</v>
      </c>
      <c r="F33" s="862"/>
      <c r="G33" s="105">
        <f>SUM(G28:G31)</f>
        <v>0</v>
      </c>
      <c r="H33" s="140"/>
      <c r="I33" s="6"/>
    </row>
    <row r="34" spans="2:9" x14ac:dyDescent="0.3">
      <c r="B34" s="4"/>
      <c r="C34" s="56"/>
      <c r="D34" s="131"/>
      <c r="E34" s="861" t="s">
        <v>281</v>
      </c>
      <c r="F34" s="862"/>
      <c r="G34" s="150">
        <v>0.1</v>
      </c>
      <c r="H34" s="140" t="s">
        <v>287</v>
      </c>
      <c r="I34" s="6"/>
    </row>
    <row r="35" spans="2:9" x14ac:dyDescent="0.3">
      <c r="B35" s="4"/>
      <c r="C35" s="141"/>
      <c r="D35" s="142"/>
      <c r="E35" s="863" t="s">
        <v>283</v>
      </c>
      <c r="F35" s="864"/>
      <c r="G35" s="115">
        <f>G33*G34</f>
        <v>0</v>
      </c>
      <c r="H35" s="143"/>
      <c r="I35" s="6"/>
    </row>
    <row r="36" spans="2:9" x14ac:dyDescent="0.3">
      <c r="B36" s="4"/>
      <c r="C36" s="151"/>
      <c r="D36" s="63"/>
      <c r="E36" s="152" t="s">
        <v>288</v>
      </c>
      <c r="F36" s="152"/>
      <c r="G36" s="153">
        <f>G15+G35</f>
        <v>0</v>
      </c>
      <c r="H36" s="154"/>
      <c r="I36" s="6"/>
    </row>
    <row r="37" spans="2:9" ht="15" thickBot="1" x14ac:dyDescent="0.35">
      <c r="B37" s="8"/>
      <c r="C37" s="9"/>
      <c r="D37" s="9"/>
      <c r="E37" s="9"/>
      <c r="F37" s="9"/>
      <c r="G37" s="9"/>
      <c r="H37" s="144"/>
      <c r="I37" s="10"/>
    </row>
    <row r="38" spans="2:9" x14ac:dyDescent="0.3">
      <c r="H38" s="145"/>
    </row>
    <row r="39" spans="2:9" ht="27.75" customHeight="1" x14ac:dyDescent="0.3">
      <c r="B39" s="865" t="s">
        <v>289</v>
      </c>
      <c r="C39" s="866"/>
      <c r="D39" s="866"/>
      <c r="E39" s="866"/>
      <c r="F39" s="866"/>
      <c r="G39" s="866"/>
      <c r="H39" s="866"/>
      <c r="I39" s="867"/>
    </row>
    <row r="40" spans="2:9" ht="15" thickBot="1" x14ac:dyDescent="0.35">
      <c r="H40" s="145"/>
    </row>
    <row r="41" spans="2:9" ht="18" thickBot="1" x14ac:dyDescent="0.35">
      <c r="B41" s="135"/>
      <c r="C41" s="860" t="s">
        <v>290</v>
      </c>
      <c r="D41" s="860"/>
      <c r="E41" s="860"/>
      <c r="F41" s="860"/>
      <c r="G41" s="860"/>
      <c r="H41" s="860"/>
      <c r="I41" s="136"/>
    </row>
    <row r="42" spans="2:9" x14ac:dyDescent="0.3">
      <c r="B42" s="4"/>
      <c r="C42" s="5"/>
      <c r="D42" s="5"/>
      <c r="E42" s="5"/>
      <c r="F42" s="5"/>
      <c r="G42" s="5"/>
      <c r="H42" s="51"/>
      <c r="I42" s="6"/>
    </row>
    <row r="43" spans="2:9" x14ac:dyDescent="0.3">
      <c r="B43" s="4"/>
      <c r="C43" s="12" t="s">
        <v>725</v>
      </c>
      <c r="D43" s="31">
        <f>D24</f>
        <v>0</v>
      </c>
      <c r="E43" s="5"/>
      <c r="F43" s="833" t="s">
        <v>98</v>
      </c>
      <c r="G43" s="834"/>
      <c r="H43" s="844"/>
      <c r="I43" s="6"/>
    </row>
    <row r="44" spans="2:9" x14ac:dyDescent="0.3">
      <c r="B44" s="4"/>
      <c r="C44" s="12" t="s">
        <v>795</v>
      </c>
      <c r="D44" s="31">
        <f>D25</f>
        <v>0</v>
      </c>
      <c r="E44" s="5"/>
      <c r="F44" s="836"/>
      <c r="G44" s="837"/>
      <c r="H44" s="845"/>
      <c r="I44" s="6"/>
    </row>
    <row r="45" spans="2:9" x14ac:dyDescent="0.3">
      <c r="B45" s="4"/>
      <c r="C45" s="5"/>
      <c r="D45" s="5"/>
      <c r="E45" s="5"/>
      <c r="F45" s="5"/>
      <c r="G45" s="5"/>
      <c r="H45" s="51"/>
      <c r="I45" s="6"/>
    </row>
    <row r="46" spans="2:9" ht="27" x14ac:dyDescent="0.3">
      <c r="B46" s="4"/>
      <c r="C46" s="12" t="s">
        <v>100</v>
      </c>
      <c r="D46" s="12" t="s">
        <v>101</v>
      </c>
      <c r="E46" s="127" t="s">
        <v>102</v>
      </c>
      <c r="F46" s="127" t="s">
        <v>103</v>
      </c>
      <c r="G46" s="127" t="s">
        <v>104</v>
      </c>
      <c r="H46" s="127" t="s">
        <v>105</v>
      </c>
      <c r="I46" s="6"/>
    </row>
    <row r="47" spans="2:9" x14ac:dyDescent="0.3">
      <c r="B47" s="4"/>
      <c r="C47" s="97" t="s">
        <v>266</v>
      </c>
      <c r="D47" s="98" t="s">
        <v>267</v>
      </c>
      <c r="E47" s="98">
        <v>1000</v>
      </c>
      <c r="F47" s="99"/>
      <c r="G47" s="100">
        <f>IF(F47/E47&lt;1,0,(F47/E47))</f>
        <v>0</v>
      </c>
      <c r="H47" s="146"/>
      <c r="I47" s="6"/>
    </row>
    <row r="48" spans="2:9" ht="28.8" x14ac:dyDescent="0.3">
      <c r="B48" s="4"/>
      <c r="C48" s="108" t="s">
        <v>268</v>
      </c>
      <c r="D48" s="103" t="s">
        <v>267</v>
      </c>
      <c r="E48" s="103">
        <v>750</v>
      </c>
      <c r="F48" s="104"/>
      <c r="G48" s="105">
        <f>IF(F48/E48&lt;1,0,(F48/E48))</f>
        <v>0</v>
      </c>
      <c r="H48" s="125"/>
      <c r="I48" s="6"/>
    </row>
    <row r="49" spans="2:9" x14ac:dyDescent="0.3">
      <c r="B49" s="4"/>
      <c r="C49" s="102" t="s">
        <v>269</v>
      </c>
      <c r="D49" s="103" t="s">
        <v>267</v>
      </c>
      <c r="E49" s="103">
        <v>250</v>
      </c>
      <c r="F49" s="104"/>
      <c r="G49" s="105">
        <f>IF(F49/E49&lt;1,0,(F49/E49))</f>
        <v>0</v>
      </c>
      <c r="H49" s="138"/>
      <c r="I49" s="6"/>
    </row>
    <row r="50" spans="2:9" ht="28.8" x14ac:dyDescent="0.3">
      <c r="B50" s="4"/>
      <c r="C50" s="108" t="s">
        <v>270</v>
      </c>
      <c r="D50" s="103" t="s">
        <v>267</v>
      </c>
      <c r="E50" s="103">
        <v>500</v>
      </c>
      <c r="F50" s="104"/>
      <c r="G50" s="105">
        <f>IF(F50/E50&lt;1,0,(F50/E50))</f>
        <v>0</v>
      </c>
      <c r="H50" s="138"/>
      <c r="I50" s="6"/>
    </row>
    <row r="51" spans="2:9" x14ac:dyDescent="0.3">
      <c r="B51" s="4"/>
      <c r="C51" s="147"/>
      <c r="D51" s="129"/>
      <c r="E51" s="148"/>
      <c r="F51" s="109"/>
      <c r="G51" s="149"/>
      <c r="H51" s="139"/>
      <c r="I51" s="6"/>
    </row>
    <row r="52" spans="2:9" x14ac:dyDescent="0.3">
      <c r="B52" s="4"/>
      <c r="C52" s="151"/>
      <c r="D52" s="63"/>
      <c r="E52" s="26" t="s">
        <v>291</v>
      </c>
      <c r="F52" s="152"/>
      <c r="G52" s="153">
        <f>SUM(G47:G50)</f>
        <v>0</v>
      </c>
      <c r="H52" s="154"/>
      <c r="I52" s="6"/>
    </row>
    <row r="53" spans="2:9" ht="15" thickBot="1" x14ac:dyDescent="0.35">
      <c r="B53" s="8"/>
      <c r="C53" s="9"/>
      <c r="D53" s="9"/>
      <c r="E53" s="155"/>
      <c r="F53" s="9"/>
      <c r="G53" s="156"/>
      <c r="H53" s="144"/>
      <c r="I53" s="10"/>
    </row>
    <row r="54" spans="2:9" x14ac:dyDescent="0.3">
      <c r="H54" s="145"/>
    </row>
    <row r="55" spans="2:9" x14ac:dyDescent="0.3">
      <c r="H55" s="145"/>
    </row>
    <row r="56" spans="2:9" x14ac:dyDescent="0.3">
      <c r="H56" s="145"/>
    </row>
    <row r="57" spans="2:9" x14ac:dyDescent="0.3">
      <c r="H57" s="145"/>
    </row>
    <row r="58" spans="2:9" x14ac:dyDescent="0.3">
      <c r="H58" s="145"/>
    </row>
    <row r="59" spans="2:9" x14ac:dyDescent="0.3">
      <c r="H59" s="145"/>
    </row>
    <row r="60" spans="2:9" x14ac:dyDescent="0.3">
      <c r="H60" s="145"/>
    </row>
    <row r="61" spans="2:9" x14ac:dyDescent="0.3">
      <c r="H61" s="145"/>
    </row>
    <row r="62" spans="2:9" x14ac:dyDescent="0.3">
      <c r="H62" s="145"/>
    </row>
    <row r="63" spans="2:9" x14ac:dyDescent="0.3">
      <c r="H63" s="145"/>
    </row>
    <row r="64" spans="2:9" x14ac:dyDescent="0.3">
      <c r="H64" s="145"/>
    </row>
    <row r="65" spans="8:8" x14ac:dyDescent="0.3">
      <c r="H65" s="145"/>
    </row>
    <row r="66" spans="8:8" x14ac:dyDescent="0.3">
      <c r="H66" s="145"/>
    </row>
    <row r="67" spans="8:8" x14ac:dyDescent="0.3">
      <c r="H67" s="145"/>
    </row>
    <row r="68" spans="8:8" x14ac:dyDescent="0.3">
      <c r="H68" s="145"/>
    </row>
    <row r="69" spans="8:8" x14ac:dyDescent="0.3">
      <c r="H69" s="145"/>
    </row>
    <row r="70" spans="8:8" x14ac:dyDescent="0.3">
      <c r="H70" s="145"/>
    </row>
    <row r="71" spans="8:8" x14ac:dyDescent="0.3">
      <c r="H71" s="145"/>
    </row>
  </sheetData>
  <sheetProtection algorithmName="SHA-512" hashValue="K0zy/+Uf8Mp5bsLi8DHdtpv4e9dm/srWtXkXo3KJS0cdOqzfqrTArNhY8vMBpyQyLxOsDO6cNbay5gydmYrXNg==" saltValue="ll/cwtDSCq+Qzt/6kpxexQ==" spinCount="100000" sheet="1" objects="1" scenarios="1"/>
  <mergeCells count="14">
    <mergeCell ref="B20:I20"/>
    <mergeCell ref="C3:H3"/>
    <mergeCell ref="F5:H6"/>
    <mergeCell ref="E13:F13"/>
    <mergeCell ref="E14:F14"/>
    <mergeCell ref="E15:F15"/>
    <mergeCell ref="C41:H41"/>
    <mergeCell ref="F43:H44"/>
    <mergeCell ref="C22:H22"/>
    <mergeCell ref="F24:H25"/>
    <mergeCell ref="E33:F33"/>
    <mergeCell ref="E34:F34"/>
    <mergeCell ref="E35:F35"/>
    <mergeCell ref="B39:I39"/>
  </mergeCells>
  <dataValidations count="2">
    <dataValidation type="custom" showInputMessage="1" showErrorMessage="1" errorTitle="Substance Notes" error="Notes can only be entered against substances that have an emission value and must not exceed 300 characters in length" promptTitle="Substance Notes" prompt="Only enter notes against substances that have an emission value.  Notes are restricted to 300 characters (40-50 words)" sqref="H47:H50 H28:H31 H9:H12" xr:uid="{492996F4-4EA4-46BB-B5E3-D2CA22FD20AA}">
      <formula1>ISBLANK(F9) + (LEN(H9) &gt; 300)=0</formula1>
    </dataValidation>
    <dataValidation type="decimal" allowBlank="1" showInputMessage="1" showErrorMessage="1" errorTitle="Emission Quantity" error="Emission quantity is outside the acceptable range. Only enter emissions if they are above the threshold given in the preceeding column. If your emission is very high, check that you have used the correct units." promptTitle="Emission Quantity" prompt="Only enter emissions if they are above the threshold given in the preceeding column. Emissions below this are not taken into account in your EP OPRA Profile." sqref="F47:F50 F28:F31 F9:F12" xr:uid="{63600A8C-9C16-4EB4-8B22-9712F618EFB0}">
      <formula1>E9</formula1>
      <formula2>E9*10000000</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2B0CC-C83A-4FF2-BD3B-DCDD008300E6}">
  <dimension ref="B3:M34"/>
  <sheetViews>
    <sheetView workbookViewId="0">
      <selection activeCell="C8" sqref="C8"/>
    </sheetView>
  </sheetViews>
  <sheetFormatPr defaultRowHeight="14.4" x14ac:dyDescent="0.3"/>
  <cols>
    <col min="3" max="3" width="19" customWidth="1"/>
    <col min="4" max="4" width="17.21875" customWidth="1"/>
  </cols>
  <sheetData>
    <row r="3" spans="2:13" ht="15" thickBot="1" x14ac:dyDescent="0.35"/>
    <row r="4" spans="2:13" ht="18" thickBot="1" x14ac:dyDescent="0.35">
      <c r="B4" s="831" t="s">
        <v>292</v>
      </c>
      <c r="C4" s="819"/>
      <c r="D4" s="819"/>
      <c r="E4" s="819"/>
      <c r="F4" s="819"/>
      <c r="G4" s="819"/>
      <c r="H4" s="819"/>
      <c r="I4" s="819"/>
      <c r="J4" s="819"/>
      <c r="K4" s="819"/>
      <c r="L4" s="819"/>
      <c r="M4" s="832"/>
    </row>
    <row r="5" spans="2:13" x14ac:dyDescent="0.3">
      <c r="B5" s="4"/>
      <c r="C5" s="5"/>
      <c r="D5" s="5"/>
      <c r="E5" s="5"/>
      <c r="F5" s="5"/>
      <c r="G5" s="5"/>
      <c r="H5" s="5"/>
      <c r="I5" s="5"/>
      <c r="J5" s="5"/>
      <c r="K5" s="5"/>
      <c r="L5" s="5"/>
      <c r="M5" s="6"/>
    </row>
    <row r="6" spans="2:13" x14ac:dyDescent="0.3">
      <c r="B6" s="4"/>
      <c r="C6" s="12" t="s">
        <v>753</v>
      </c>
      <c r="D6" s="793">
        <f>+Introduction!E10</f>
        <v>0</v>
      </c>
      <c r="E6" s="793"/>
      <c r="F6" s="5"/>
      <c r="G6" s="5"/>
      <c r="H6" s="5"/>
      <c r="I6" s="5"/>
      <c r="J6" s="5"/>
      <c r="K6" s="5"/>
      <c r="L6" s="5"/>
      <c r="M6" s="6"/>
    </row>
    <row r="7" spans="2:13" x14ac:dyDescent="0.3">
      <c r="B7" s="4"/>
      <c r="C7" s="12" t="s">
        <v>795</v>
      </c>
      <c r="D7" s="793">
        <f>+Introduction!K10</f>
        <v>0</v>
      </c>
      <c r="E7" s="793"/>
      <c r="F7" s="5"/>
      <c r="G7" s="5"/>
      <c r="H7" s="5"/>
      <c r="I7" s="5"/>
      <c r="J7" s="5"/>
      <c r="K7" s="5"/>
      <c r="L7" s="5"/>
      <c r="M7" s="6"/>
    </row>
    <row r="8" spans="2:13" x14ac:dyDescent="0.3">
      <c r="B8" s="4"/>
      <c r="C8" s="5"/>
      <c r="D8" s="5"/>
      <c r="E8" s="5"/>
      <c r="F8" s="5"/>
      <c r="G8" s="5"/>
      <c r="H8" s="5"/>
      <c r="I8" s="5"/>
      <c r="J8" s="5"/>
      <c r="K8" s="5"/>
      <c r="L8" s="5"/>
      <c r="M8" s="6"/>
    </row>
    <row r="9" spans="2:13" ht="26.4" x14ac:dyDescent="0.3">
      <c r="B9" s="4"/>
      <c r="C9" s="12" t="s">
        <v>293</v>
      </c>
      <c r="D9" s="15" t="s">
        <v>294</v>
      </c>
      <c r="E9" s="5"/>
      <c r="F9" s="5"/>
      <c r="G9" s="5"/>
      <c r="H9" s="5"/>
      <c r="I9" s="5"/>
      <c r="J9" s="5"/>
      <c r="K9" s="5"/>
      <c r="L9" s="5"/>
      <c r="M9" s="6"/>
    </row>
    <row r="10" spans="2:13" x14ac:dyDescent="0.3">
      <c r="B10" s="4"/>
      <c r="C10" s="34" t="s">
        <v>295</v>
      </c>
      <c r="D10" s="161">
        <f>ROUND('4 Air'!G129,0)</f>
        <v>0</v>
      </c>
      <c r="E10" s="157"/>
      <c r="F10" s="5"/>
      <c r="G10" s="5"/>
      <c r="H10" s="5"/>
      <c r="I10" s="5"/>
      <c r="J10" s="5"/>
      <c r="K10" s="5"/>
      <c r="L10" s="5"/>
      <c r="M10" s="6"/>
    </row>
    <row r="11" spans="2:13" x14ac:dyDescent="0.3">
      <c r="B11" s="4"/>
      <c r="C11" s="34" t="s">
        <v>296</v>
      </c>
      <c r="D11" s="161">
        <f>ROUND('5 Water'!F91,0)</f>
        <v>0</v>
      </c>
      <c r="E11" s="5"/>
      <c r="F11" s="5"/>
      <c r="G11" s="5"/>
      <c r="H11" s="5"/>
      <c r="I11" s="5"/>
      <c r="J11" s="5"/>
      <c r="K11" s="5"/>
      <c r="L11" s="5"/>
      <c r="M11" s="6"/>
    </row>
    <row r="12" spans="2:13" x14ac:dyDescent="0.3">
      <c r="B12" s="4"/>
      <c r="C12" s="34" t="s">
        <v>297</v>
      </c>
      <c r="D12" s="161">
        <f>ROUND('6 Land'!G14,0)</f>
        <v>0</v>
      </c>
      <c r="E12" s="5"/>
      <c r="F12" s="5"/>
      <c r="G12" s="5"/>
      <c r="H12" s="5"/>
      <c r="I12" s="5"/>
      <c r="J12" s="5"/>
      <c r="K12" s="5"/>
      <c r="L12" s="5"/>
      <c r="M12" s="6"/>
    </row>
    <row r="13" spans="2:13" x14ac:dyDescent="0.3">
      <c r="B13" s="4"/>
      <c r="C13" s="34" t="s">
        <v>298</v>
      </c>
      <c r="D13" s="161">
        <f>ROUND('7 Sewer'!G92,0)</f>
        <v>0</v>
      </c>
      <c r="E13" s="5"/>
      <c r="F13" s="5"/>
      <c r="G13" s="5"/>
      <c r="H13" s="5"/>
      <c r="I13" s="5"/>
      <c r="J13" s="5"/>
      <c r="K13" s="5"/>
      <c r="L13" s="5"/>
      <c r="M13" s="6"/>
    </row>
    <row r="14" spans="2:13" x14ac:dyDescent="0.3">
      <c r="B14" s="4"/>
      <c r="C14" s="34" t="s">
        <v>299</v>
      </c>
      <c r="D14" s="161">
        <f>ROUND('8 Waste'!G36,0)</f>
        <v>0</v>
      </c>
      <c r="E14" s="5"/>
      <c r="F14" s="5"/>
      <c r="G14" s="5"/>
      <c r="H14" s="5"/>
      <c r="I14" s="5"/>
      <c r="J14" s="5"/>
      <c r="K14" s="5"/>
      <c r="L14" s="5"/>
      <c r="M14" s="6"/>
    </row>
    <row r="15" spans="2:13" x14ac:dyDescent="0.3">
      <c r="B15" s="4"/>
      <c r="C15" s="34" t="s">
        <v>300</v>
      </c>
      <c r="D15" s="161">
        <f>ROUND('8 Waste'!G52,0)</f>
        <v>0</v>
      </c>
      <c r="E15" s="5"/>
      <c r="F15" s="5"/>
      <c r="G15" s="5"/>
      <c r="H15" s="5"/>
      <c r="I15" s="5"/>
      <c r="J15" s="5"/>
      <c r="K15" s="5"/>
      <c r="L15" s="5"/>
      <c r="M15" s="6"/>
    </row>
    <row r="16" spans="2:13" x14ac:dyDescent="0.3">
      <c r="B16" s="4"/>
      <c r="C16" s="5"/>
      <c r="D16" s="5"/>
      <c r="E16" s="5"/>
      <c r="F16" s="5"/>
      <c r="G16" s="5"/>
      <c r="H16" s="5"/>
      <c r="I16" s="5"/>
      <c r="J16" s="5"/>
      <c r="K16" s="5"/>
      <c r="L16" s="5"/>
      <c r="M16" s="6"/>
    </row>
    <row r="17" spans="2:13" x14ac:dyDescent="0.3">
      <c r="B17" s="4"/>
      <c r="C17" s="158"/>
      <c r="D17" s="159"/>
      <c r="E17" s="5"/>
      <c r="F17" s="5"/>
      <c r="G17" s="5"/>
      <c r="H17" s="5"/>
      <c r="I17" s="5"/>
      <c r="J17" s="5"/>
      <c r="K17" s="5"/>
      <c r="L17" s="5"/>
      <c r="M17" s="6"/>
    </row>
    <row r="18" spans="2:13" x14ac:dyDescent="0.3">
      <c r="B18" s="4"/>
      <c r="C18" s="59"/>
      <c r="D18" s="159"/>
      <c r="E18" s="5"/>
      <c r="F18" s="5"/>
      <c r="G18" s="5"/>
      <c r="H18" s="5"/>
      <c r="I18" s="5"/>
      <c r="J18" s="5"/>
      <c r="K18" s="5"/>
      <c r="L18" s="5"/>
      <c r="M18" s="6"/>
    </row>
    <row r="19" spans="2:13" x14ac:dyDescent="0.3">
      <c r="B19" s="4"/>
      <c r="C19" s="5"/>
      <c r="D19" s="5"/>
      <c r="E19" s="5"/>
      <c r="F19" s="5"/>
      <c r="G19" s="5"/>
      <c r="H19" s="5"/>
      <c r="I19" s="5"/>
      <c r="J19" s="5"/>
      <c r="K19" s="5"/>
      <c r="L19" s="5"/>
      <c r="M19" s="6"/>
    </row>
    <row r="20" spans="2:13" x14ac:dyDescent="0.3">
      <c r="B20" s="4"/>
      <c r="C20" s="5"/>
      <c r="D20" s="5"/>
      <c r="E20" s="5"/>
      <c r="F20" s="5"/>
      <c r="G20" s="5"/>
      <c r="H20" s="5"/>
      <c r="I20" s="5"/>
      <c r="J20" s="5"/>
      <c r="K20" s="5"/>
      <c r="L20" s="5"/>
      <c r="M20" s="6"/>
    </row>
    <row r="21" spans="2:13" x14ac:dyDescent="0.3">
      <c r="B21" s="4"/>
      <c r="C21" s="5"/>
      <c r="D21" s="5"/>
      <c r="E21" s="5"/>
      <c r="F21" s="5"/>
      <c r="G21" s="5"/>
      <c r="H21" s="5"/>
      <c r="I21" s="5"/>
      <c r="J21" s="5"/>
      <c r="K21" s="5"/>
      <c r="L21" s="5"/>
      <c r="M21" s="6"/>
    </row>
    <row r="22" spans="2:13" x14ac:dyDescent="0.3">
      <c r="B22" s="4"/>
      <c r="C22" s="5"/>
      <c r="D22" s="5"/>
      <c r="E22" s="5"/>
      <c r="F22" s="5"/>
      <c r="G22" s="5"/>
      <c r="H22" s="5"/>
      <c r="I22" s="5"/>
      <c r="J22" s="5"/>
      <c r="K22" s="5"/>
      <c r="L22" s="5"/>
      <c r="M22" s="6"/>
    </row>
    <row r="23" spans="2:13" x14ac:dyDescent="0.3">
      <c r="B23" s="4"/>
      <c r="C23" s="12" t="s">
        <v>301</v>
      </c>
      <c r="D23" s="871" t="s">
        <v>302</v>
      </c>
      <c r="E23" s="871"/>
      <c r="F23" s="5"/>
      <c r="G23" s="5"/>
      <c r="H23" s="5"/>
      <c r="I23" s="5"/>
      <c r="J23" s="5"/>
      <c r="K23" s="5"/>
      <c r="L23" s="5"/>
      <c r="M23" s="6"/>
    </row>
    <row r="24" spans="2:13" x14ac:dyDescent="0.3">
      <c r="B24" s="4"/>
      <c r="C24" s="34" t="s">
        <v>295</v>
      </c>
      <c r="D24" s="46">
        <f t="shared" ref="D24:D29" si="0">IF(D10&gt;0,IF(D10&gt;=10,IF(D10&gt;=100,IF(D10&gt;=1000,IF(D10&gt;=10000,5,4),3),2),1),0)</f>
        <v>0</v>
      </c>
      <c r="E24" s="35" t="str">
        <f t="shared" ref="E24:E29" si="1">IF(D24=0,"-",IF(D24=1,"A",IF(D24=2,"B",IF(D24=3,"C",IF(D24=4,"D","E")))))</f>
        <v>-</v>
      </c>
      <c r="F24" s="5"/>
      <c r="G24" s="5"/>
      <c r="H24" s="5"/>
      <c r="I24" s="5"/>
      <c r="J24" s="5"/>
      <c r="K24" s="5"/>
      <c r="L24" s="5"/>
      <c r="M24" s="6"/>
    </row>
    <row r="25" spans="2:13" x14ac:dyDescent="0.3">
      <c r="B25" s="4"/>
      <c r="C25" s="34" t="s">
        <v>296</v>
      </c>
      <c r="D25" s="46">
        <f t="shared" si="0"/>
        <v>0</v>
      </c>
      <c r="E25" s="35" t="str">
        <f t="shared" si="1"/>
        <v>-</v>
      </c>
      <c r="F25" s="5"/>
      <c r="G25" s="5"/>
      <c r="H25" s="5"/>
      <c r="I25" s="5"/>
      <c r="J25" s="5"/>
      <c r="K25" s="5"/>
      <c r="L25" s="5"/>
      <c r="M25" s="6"/>
    </row>
    <row r="26" spans="2:13" x14ac:dyDescent="0.3">
      <c r="B26" s="4"/>
      <c r="C26" s="34" t="s">
        <v>297</v>
      </c>
      <c r="D26" s="46">
        <f t="shared" si="0"/>
        <v>0</v>
      </c>
      <c r="E26" s="35" t="str">
        <f t="shared" si="1"/>
        <v>-</v>
      </c>
      <c r="F26" s="5"/>
      <c r="G26" s="5"/>
      <c r="H26" s="5"/>
      <c r="I26" s="5"/>
      <c r="J26" s="5"/>
      <c r="K26" s="5"/>
      <c r="L26" s="5"/>
      <c r="M26" s="6"/>
    </row>
    <row r="27" spans="2:13" x14ac:dyDescent="0.3">
      <c r="B27" s="4"/>
      <c r="C27" s="34" t="s">
        <v>298</v>
      </c>
      <c r="D27" s="46">
        <f t="shared" si="0"/>
        <v>0</v>
      </c>
      <c r="E27" s="35" t="str">
        <f t="shared" si="1"/>
        <v>-</v>
      </c>
      <c r="F27" s="5"/>
      <c r="G27" s="5"/>
      <c r="H27" s="5"/>
      <c r="I27" s="5"/>
      <c r="J27" s="5"/>
      <c r="K27" s="5"/>
      <c r="L27" s="5"/>
      <c r="M27" s="6"/>
    </row>
    <row r="28" spans="2:13" x14ac:dyDescent="0.3">
      <c r="B28" s="4"/>
      <c r="C28" s="34" t="s">
        <v>299</v>
      </c>
      <c r="D28" s="46">
        <f t="shared" si="0"/>
        <v>0</v>
      </c>
      <c r="E28" s="35" t="str">
        <f t="shared" si="1"/>
        <v>-</v>
      </c>
      <c r="F28" s="5"/>
      <c r="G28" s="5"/>
      <c r="H28" s="5"/>
      <c r="I28" s="5"/>
      <c r="J28" s="5"/>
      <c r="K28" s="5"/>
      <c r="L28" s="5"/>
      <c r="M28" s="6"/>
    </row>
    <row r="29" spans="2:13" x14ac:dyDescent="0.3">
      <c r="B29" s="4"/>
      <c r="C29" s="34" t="s">
        <v>300</v>
      </c>
      <c r="D29" s="46">
        <f t="shared" si="0"/>
        <v>0</v>
      </c>
      <c r="E29" s="35" t="str">
        <f t="shared" si="1"/>
        <v>-</v>
      </c>
      <c r="F29" s="5"/>
      <c r="G29" s="5"/>
      <c r="H29" s="5"/>
      <c r="I29" s="5"/>
      <c r="J29" s="5"/>
      <c r="K29" s="5"/>
      <c r="L29" s="5"/>
      <c r="M29" s="6"/>
    </row>
    <row r="30" spans="2:13" x14ac:dyDescent="0.3">
      <c r="B30" s="4"/>
      <c r="C30" s="5"/>
      <c r="D30" s="5"/>
      <c r="E30" s="5"/>
      <c r="F30" s="5"/>
      <c r="G30" s="5"/>
      <c r="H30" s="5"/>
      <c r="I30" s="5"/>
      <c r="J30" s="5"/>
      <c r="K30" s="5"/>
      <c r="L30" s="5"/>
      <c r="M30" s="6"/>
    </row>
    <row r="31" spans="2:13" x14ac:dyDescent="0.3">
      <c r="B31" s="4"/>
      <c r="C31" s="158"/>
      <c r="D31" s="160"/>
      <c r="E31" s="160"/>
      <c r="F31" s="5"/>
      <c r="G31" s="5"/>
      <c r="H31" s="5"/>
      <c r="I31" s="5"/>
      <c r="J31" s="5"/>
      <c r="K31" s="5"/>
      <c r="L31" s="5"/>
      <c r="M31" s="6"/>
    </row>
    <row r="32" spans="2:13" x14ac:dyDescent="0.3">
      <c r="B32" s="4"/>
      <c r="C32" s="158"/>
      <c r="D32" s="160"/>
      <c r="E32" s="160"/>
      <c r="F32" s="5"/>
      <c r="G32" s="5"/>
      <c r="H32" s="5"/>
      <c r="I32" s="5"/>
      <c r="J32" s="5"/>
      <c r="K32" s="5"/>
      <c r="L32" s="5"/>
      <c r="M32" s="6"/>
    </row>
    <row r="33" spans="2:13" x14ac:dyDescent="0.3">
      <c r="B33" s="4"/>
      <c r="C33" s="5"/>
      <c r="D33" s="5"/>
      <c r="E33" s="5"/>
      <c r="F33" s="5"/>
      <c r="G33" s="5"/>
      <c r="H33" s="5"/>
      <c r="I33" s="5"/>
      <c r="J33" s="5"/>
      <c r="K33" s="5"/>
      <c r="L33" s="5"/>
      <c r="M33" s="6"/>
    </row>
    <row r="34" spans="2:13" ht="15" thickBot="1" x14ac:dyDescent="0.35">
      <c r="B34" s="8"/>
      <c r="C34" s="9"/>
      <c r="D34" s="9"/>
      <c r="E34" s="9"/>
      <c r="F34" s="9"/>
      <c r="G34" s="9"/>
      <c r="H34" s="9"/>
      <c r="I34" s="9"/>
      <c r="J34" s="9"/>
      <c r="K34" s="9"/>
      <c r="L34" s="9"/>
      <c r="M34" s="10"/>
    </row>
  </sheetData>
  <sheetProtection algorithmName="SHA-512" hashValue="pk2dDjxDzyqZ3Mwnc3ed1Dn9BRiw4nTZ/5b72kVzfCjULy8Sc0vNAa1WQ1LLrxmQ6yY0021uETmQh+KUThbC3g==" saltValue="Ab+MtO9vBj/90melFbCtQA==" spinCount="100000" sheet="1" objects="1" scenarios="1"/>
  <mergeCells count="4">
    <mergeCell ref="B4:M4"/>
    <mergeCell ref="D23:E23"/>
    <mergeCell ref="D6:E6"/>
    <mergeCell ref="D7:E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D039E-568E-4670-971A-4FAC3BA4ED35}">
  <dimension ref="B2:I68"/>
  <sheetViews>
    <sheetView workbookViewId="0">
      <selection activeCell="C7" sqref="C7"/>
    </sheetView>
  </sheetViews>
  <sheetFormatPr defaultColWidth="9.21875" defaultRowHeight="14.4" x14ac:dyDescent="0.3"/>
  <cols>
    <col min="1" max="2" width="9.21875" style="329"/>
    <col min="3" max="3" width="68.5546875" style="329" customWidth="1"/>
    <col min="4" max="4" width="10.77734375" style="329" customWidth="1"/>
    <col min="5" max="6" width="9.21875" style="329"/>
    <col min="7" max="7" width="14" style="329" customWidth="1"/>
    <col min="8" max="16384" width="9.21875" style="329"/>
  </cols>
  <sheetData>
    <row r="2" spans="2:7" ht="15" thickBot="1" x14ac:dyDescent="0.35"/>
    <row r="3" spans="2:7" ht="18" thickBot="1" x14ac:dyDescent="0.35">
      <c r="B3" s="878" t="s">
        <v>303</v>
      </c>
      <c r="C3" s="879"/>
      <c r="D3" s="879"/>
      <c r="E3" s="879"/>
      <c r="F3" s="879"/>
      <c r="G3" s="880"/>
    </row>
    <row r="4" spans="2:7" x14ac:dyDescent="0.3">
      <c r="B4" s="267"/>
      <c r="C4" s="549"/>
      <c r="D4" s="268"/>
      <c r="E4" s="268"/>
      <c r="F4" s="268"/>
      <c r="G4" s="479"/>
    </row>
    <row r="5" spans="2:7" x14ac:dyDescent="0.3">
      <c r="B5" s="270"/>
      <c r="C5" s="330" t="s">
        <v>47</v>
      </c>
      <c r="D5" s="881">
        <f>+Introduction!E10</f>
        <v>0</v>
      </c>
      <c r="E5" s="881"/>
      <c r="F5" s="881"/>
      <c r="G5" s="36"/>
    </row>
    <row r="6" spans="2:7" x14ac:dyDescent="0.3">
      <c r="B6" s="270"/>
      <c r="C6" s="330" t="s">
        <v>795</v>
      </c>
      <c r="D6" s="881">
        <f>+Introduction!K10</f>
        <v>0</v>
      </c>
      <c r="E6" s="881"/>
      <c r="F6" s="881"/>
      <c r="G6" s="36"/>
    </row>
    <row r="7" spans="2:7" x14ac:dyDescent="0.3">
      <c r="B7" s="270"/>
      <c r="C7" s="480"/>
      <c r="D7" s="480"/>
      <c r="E7" s="480"/>
      <c r="F7" s="480"/>
      <c r="G7" s="36"/>
    </row>
    <row r="8" spans="2:7" x14ac:dyDescent="0.3">
      <c r="B8" s="270"/>
      <c r="C8" s="330" t="s">
        <v>304</v>
      </c>
      <c r="D8" s="330" t="s">
        <v>305</v>
      </c>
      <c r="E8" s="330" t="s">
        <v>306</v>
      </c>
      <c r="F8" s="330" t="s">
        <v>307</v>
      </c>
      <c r="G8" s="36"/>
    </row>
    <row r="9" spans="2:7" x14ac:dyDescent="0.3">
      <c r="B9" s="270"/>
      <c r="C9" s="331" t="s">
        <v>308</v>
      </c>
      <c r="D9" s="332"/>
      <c r="E9" s="333"/>
      <c r="F9" s="882">
        <f>IF(D10="Yes",5,(IF(D12="yes",3,(IF(D14="Yes",1,0)))))</f>
        <v>0</v>
      </c>
      <c r="G9" s="36"/>
    </row>
    <row r="10" spans="2:7" x14ac:dyDescent="0.3">
      <c r="B10" s="270"/>
      <c r="C10" s="334" t="s">
        <v>309</v>
      </c>
      <c r="D10" s="488"/>
      <c r="E10" s="335">
        <v>5</v>
      </c>
      <c r="F10" s="883"/>
      <c r="G10" s="36"/>
    </row>
    <row r="11" spans="2:7" x14ac:dyDescent="0.3">
      <c r="B11" s="270"/>
      <c r="C11" s="336" t="s">
        <v>310</v>
      </c>
      <c r="D11" s="550"/>
      <c r="E11" s="337"/>
      <c r="F11" s="883"/>
      <c r="G11" s="36"/>
    </row>
    <row r="12" spans="2:7" x14ac:dyDescent="0.3">
      <c r="B12" s="270"/>
      <c r="C12" s="334" t="s">
        <v>311</v>
      </c>
      <c r="D12" s="488"/>
      <c r="E12" s="337">
        <v>3</v>
      </c>
      <c r="F12" s="883"/>
      <c r="G12" s="36"/>
    </row>
    <row r="13" spans="2:7" x14ac:dyDescent="0.3">
      <c r="B13" s="270"/>
      <c r="C13" s="336" t="s">
        <v>312</v>
      </c>
      <c r="D13" s="338"/>
      <c r="E13" s="337"/>
      <c r="F13" s="883"/>
      <c r="G13" s="36"/>
    </row>
    <row r="14" spans="2:7" x14ac:dyDescent="0.3">
      <c r="B14" s="270"/>
      <c r="C14" s="339" t="s">
        <v>313</v>
      </c>
      <c r="D14" s="488"/>
      <c r="E14" s="340">
        <v>1</v>
      </c>
      <c r="F14" s="884"/>
      <c r="G14" s="36"/>
    </row>
    <row r="15" spans="2:7" ht="63.75" customHeight="1" x14ac:dyDescent="0.3">
      <c r="B15" s="270"/>
      <c r="C15" s="510" t="s">
        <v>709</v>
      </c>
      <c r="D15" s="341"/>
      <c r="E15" s="333"/>
      <c r="F15" s="882">
        <f>IF(D16="yes",3,(IF(D18="Yes",2,0)))</f>
        <v>0</v>
      </c>
      <c r="G15" s="36"/>
    </row>
    <row r="16" spans="2:7" x14ac:dyDescent="0.3">
      <c r="B16" s="270"/>
      <c r="C16" s="342" t="s">
        <v>314</v>
      </c>
      <c r="D16" s="488"/>
      <c r="E16" s="335">
        <v>3</v>
      </c>
      <c r="F16" s="883"/>
      <c r="G16" s="36"/>
    </row>
    <row r="17" spans="2:9" x14ac:dyDescent="0.3">
      <c r="B17" s="270"/>
      <c r="C17" s="336" t="s">
        <v>315</v>
      </c>
      <c r="D17" s="550"/>
      <c r="E17" s="337"/>
      <c r="F17" s="883"/>
      <c r="G17" s="36"/>
    </row>
    <row r="18" spans="2:9" x14ac:dyDescent="0.3">
      <c r="B18" s="270"/>
      <c r="C18" s="343" t="s">
        <v>316</v>
      </c>
      <c r="D18" s="489"/>
      <c r="E18" s="344">
        <v>2</v>
      </c>
      <c r="F18" s="884"/>
      <c r="G18" s="36"/>
    </row>
    <row r="19" spans="2:9" x14ac:dyDescent="0.3">
      <c r="B19" s="270"/>
      <c r="C19" s="345" t="s">
        <v>317</v>
      </c>
      <c r="D19" s="492"/>
      <c r="E19" s="346">
        <v>2</v>
      </c>
      <c r="F19" s="882">
        <f>IF(D19="yes",2,(IF(D21="Yes",1,0)))</f>
        <v>0</v>
      </c>
      <c r="G19" s="36"/>
    </row>
    <row r="20" spans="2:9" x14ac:dyDescent="0.3">
      <c r="B20" s="270"/>
      <c r="C20" s="336" t="s">
        <v>315</v>
      </c>
      <c r="D20" s="338"/>
      <c r="E20" s="550"/>
      <c r="F20" s="883"/>
      <c r="G20" s="36"/>
    </row>
    <row r="21" spans="2:9" x14ac:dyDescent="0.3">
      <c r="B21" s="270"/>
      <c r="C21" s="347" t="s">
        <v>318</v>
      </c>
      <c r="D21" s="488"/>
      <c r="E21" s="550">
        <v>1</v>
      </c>
      <c r="F21" s="883"/>
      <c r="G21" s="36"/>
    </row>
    <row r="22" spans="2:9" x14ac:dyDescent="0.3">
      <c r="B22" s="270"/>
      <c r="C22" s="348"/>
      <c r="D22" s="344"/>
      <c r="E22" s="344"/>
      <c r="F22" s="509"/>
      <c r="G22" s="36"/>
    </row>
    <row r="23" spans="2:9" ht="48.75" customHeight="1" x14ac:dyDescent="0.3">
      <c r="B23" s="270"/>
      <c r="C23" s="349" t="s">
        <v>685</v>
      </c>
      <c r="D23" s="887" t="s">
        <v>686</v>
      </c>
      <c r="E23" s="888"/>
      <c r="F23" s="882">
        <f>IF(D26="Yes",3,(IF(D25="yes",2,(IF(D24="Yes",1,0)))))</f>
        <v>0</v>
      </c>
      <c r="G23" s="36"/>
    </row>
    <row r="24" spans="2:9" x14ac:dyDescent="0.3">
      <c r="B24" s="270"/>
      <c r="C24" s="342" t="s">
        <v>683</v>
      </c>
      <c r="D24" s="488"/>
      <c r="E24" s="550">
        <v>1</v>
      </c>
      <c r="F24" s="883"/>
      <c r="G24" s="36"/>
      <c r="H24" s="548"/>
      <c r="I24" s="547"/>
    </row>
    <row r="25" spans="2:9" x14ac:dyDescent="0.3">
      <c r="B25" s="270"/>
      <c r="C25" s="342" t="s">
        <v>682</v>
      </c>
      <c r="D25" s="488"/>
      <c r="E25" s="550">
        <v>2</v>
      </c>
      <c r="F25" s="883"/>
      <c r="G25" s="36"/>
      <c r="H25" s="548"/>
      <c r="I25" s="547"/>
    </row>
    <row r="26" spans="2:9" x14ac:dyDescent="0.3">
      <c r="B26" s="270"/>
      <c r="C26" s="342" t="s">
        <v>684</v>
      </c>
      <c r="D26" s="488"/>
      <c r="E26" s="340">
        <v>3</v>
      </c>
      <c r="F26" s="884"/>
      <c r="G26" s="36"/>
      <c r="H26" s="548"/>
      <c r="I26" s="547"/>
    </row>
    <row r="27" spans="2:9" x14ac:dyDescent="0.3">
      <c r="B27" s="270"/>
      <c r="C27" s="885" t="s">
        <v>319</v>
      </c>
      <c r="D27" s="332"/>
      <c r="E27" s="337"/>
      <c r="F27" s="882">
        <f>IF(D28="yes",2,(IF(D30="Yes",1,0)))</f>
        <v>0</v>
      </c>
      <c r="G27" s="36"/>
      <c r="H27" s="548"/>
      <c r="I27" s="547"/>
    </row>
    <row r="28" spans="2:9" x14ac:dyDescent="0.3">
      <c r="B28" s="270"/>
      <c r="C28" s="886"/>
      <c r="D28" s="488"/>
      <c r="E28" s="335">
        <v>2</v>
      </c>
      <c r="F28" s="883"/>
      <c r="G28" s="36"/>
      <c r="H28" s="548"/>
      <c r="I28" s="547"/>
    </row>
    <row r="29" spans="2:9" x14ac:dyDescent="0.3">
      <c r="B29" s="270"/>
      <c r="C29" s="336" t="s">
        <v>315</v>
      </c>
      <c r="D29" s="338"/>
      <c r="E29" s="337"/>
      <c r="F29" s="883"/>
      <c r="G29" s="36"/>
      <c r="H29" s="547"/>
    </row>
    <row r="30" spans="2:9" x14ac:dyDescent="0.3">
      <c r="B30" s="270"/>
      <c r="C30" s="350" t="s">
        <v>320</v>
      </c>
      <c r="D30" s="489"/>
      <c r="E30" s="340">
        <v>1</v>
      </c>
      <c r="F30" s="883"/>
      <c r="G30" s="36"/>
    </row>
    <row r="31" spans="2:9" x14ac:dyDescent="0.3">
      <c r="B31" s="270"/>
      <c r="C31" s="347"/>
      <c r="D31" s="351"/>
      <c r="E31" s="352"/>
      <c r="F31" s="328"/>
      <c r="G31" s="36"/>
    </row>
    <row r="32" spans="2:9" ht="14.25" customHeight="1" x14ac:dyDescent="0.3">
      <c r="B32" s="270"/>
      <c r="C32" s="353" t="s">
        <v>321</v>
      </c>
      <c r="D32" s="354"/>
      <c r="E32" s="337"/>
      <c r="F32" s="883">
        <f>IF(D33="Yes",3,(IF(D36="yes",2,(IF(D38="Yes",1,0)))))</f>
        <v>0</v>
      </c>
      <c r="G32" s="36"/>
    </row>
    <row r="33" spans="2:7" x14ac:dyDescent="0.3">
      <c r="B33" s="270"/>
      <c r="C33" s="355" t="s">
        <v>322</v>
      </c>
      <c r="D33" s="488"/>
      <c r="E33" s="335">
        <v>3</v>
      </c>
      <c r="F33" s="883"/>
      <c r="G33" s="36"/>
    </row>
    <row r="34" spans="2:7" x14ac:dyDescent="0.3">
      <c r="B34" s="270"/>
      <c r="C34" s="336" t="s">
        <v>315</v>
      </c>
      <c r="D34" s="356"/>
      <c r="E34" s="337"/>
      <c r="F34" s="883"/>
      <c r="G34" s="36"/>
    </row>
    <row r="35" spans="2:7" x14ac:dyDescent="0.3">
      <c r="B35" s="270"/>
      <c r="C35" s="357" t="s">
        <v>323</v>
      </c>
      <c r="D35" s="354"/>
      <c r="E35" s="337"/>
      <c r="F35" s="883"/>
      <c r="G35" s="36"/>
    </row>
    <row r="36" spans="2:7" x14ac:dyDescent="0.3">
      <c r="B36" s="270"/>
      <c r="C36" s="355" t="s">
        <v>322</v>
      </c>
      <c r="D36" s="488"/>
      <c r="E36" s="335">
        <v>2</v>
      </c>
      <c r="F36" s="883">
        <v>0</v>
      </c>
      <c r="G36" s="36"/>
    </row>
    <row r="37" spans="2:7" x14ac:dyDescent="0.3">
      <c r="B37" s="270"/>
      <c r="C37" s="336" t="s">
        <v>315</v>
      </c>
      <c r="D37" s="338"/>
      <c r="E37" s="337"/>
      <c r="F37" s="883"/>
      <c r="G37" s="36"/>
    </row>
    <row r="38" spans="2:7" ht="17.25" customHeight="1" x14ac:dyDescent="0.3">
      <c r="B38" s="270"/>
      <c r="C38" s="358" t="s">
        <v>717</v>
      </c>
      <c r="D38" s="488"/>
      <c r="E38" s="335">
        <v>1</v>
      </c>
      <c r="F38" s="883"/>
      <c r="G38" s="36"/>
    </row>
    <row r="39" spans="2:7" x14ac:dyDescent="0.3">
      <c r="B39" s="270"/>
      <c r="C39" s="355" t="s">
        <v>716</v>
      </c>
      <c r="D39" s="356"/>
      <c r="E39" s="337"/>
      <c r="F39" s="884"/>
      <c r="G39" s="36"/>
    </row>
    <row r="40" spans="2:7" x14ac:dyDescent="0.3">
      <c r="B40" s="270"/>
      <c r="C40" s="359" t="s">
        <v>324</v>
      </c>
      <c r="D40" s="490"/>
      <c r="E40" s="360">
        <v>2</v>
      </c>
      <c r="F40" s="162">
        <f>IF(D40="Yes",2,0)</f>
        <v>0</v>
      </c>
      <c r="G40" s="36"/>
    </row>
    <row r="41" spans="2:7" x14ac:dyDescent="0.3">
      <c r="B41" s="270"/>
      <c r="C41" s="872" t="s">
        <v>325</v>
      </c>
      <c r="D41" s="874" t="s">
        <v>94</v>
      </c>
      <c r="E41" s="875"/>
      <c r="F41" s="163">
        <f>SUM(F9:F40)</f>
        <v>0</v>
      </c>
      <c r="G41" s="36"/>
    </row>
    <row r="42" spans="2:7" x14ac:dyDescent="0.3">
      <c r="B42" s="270"/>
      <c r="C42" s="873"/>
      <c r="D42" s="876" t="s">
        <v>302</v>
      </c>
      <c r="E42" s="877"/>
      <c r="F42" s="164" t="str">
        <f>IF(F41&gt;17,"E",(IF(F41&gt;12,"D",(IF(F41&gt;8,"C",(IF(F41&gt;4,"B","A")))))))</f>
        <v>A</v>
      </c>
      <c r="G42" s="36"/>
    </row>
    <row r="43" spans="2:7" x14ac:dyDescent="0.3">
      <c r="B43" s="270"/>
      <c r="C43" s="480"/>
      <c r="D43" s="480"/>
      <c r="E43" s="480"/>
      <c r="F43" s="480"/>
      <c r="G43" s="36"/>
    </row>
    <row r="44" spans="2:7" x14ac:dyDescent="0.3">
      <c r="B44" s="270"/>
      <c r="C44" s="361" t="s">
        <v>666</v>
      </c>
      <c r="D44" s="361" t="s">
        <v>667</v>
      </c>
      <c r="E44" s="480"/>
      <c r="F44" s="480"/>
      <c r="G44" s="36"/>
    </row>
    <row r="45" spans="2:7" x14ac:dyDescent="0.3">
      <c r="B45" s="270"/>
      <c r="C45" s="362" t="s">
        <v>663</v>
      </c>
      <c r="D45" s="362" t="str">
        <f>IF(AND(D10=0,D12=0,D14=0),"Incomplete","Complete")</f>
        <v>Incomplete</v>
      </c>
      <c r="E45" s="480"/>
      <c r="F45" s="480"/>
      <c r="G45" s="36"/>
    </row>
    <row r="46" spans="2:7" x14ac:dyDescent="0.3">
      <c r="B46" s="270"/>
      <c r="C46" s="362" t="s">
        <v>328</v>
      </c>
      <c r="D46" s="362" t="str">
        <f>IF(AND(D16=0,D18=0),"Incomplete","Complete")</f>
        <v>Incomplete</v>
      </c>
      <c r="E46" s="480"/>
      <c r="F46" s="480"/>
      <c r="G46" s="36"/>
    </row>
    <row r="47" spans="2:7" x14ac:dyDescent="0.3">
      <c r="B47" s="270"/>
      <c r="C47" s="362" t="s">
        <v>329</v>
      </c>
      <c r="D47" s="362" t="str">
        <f>IF(AND(D19=0,D21=0),"Incomplete","Complete")</f>
        <v>Incomplete</v>
      </c>
      <c r="E47" s="480"/>
      <c r="F47" s="480"/>
      <c r="G47" s="36"/>
    </row>
    <row r="48" spans="2:7" x14ac:dyDescent="0.3">
      <c r="B48" s="270"/>
      <c r="C48" s="362" t="s">
        <v>710</v>
      </c>
      <c r="D48" s="362" t="str">
        <f>IF(AND(D24=0,D25=0,D26=0),"Incomplete","Complete")</f>
        <v>Incomplete</v>
      </c>
      <c r="E48" s="480"/>
      <c r="F48" s="480"/>
      <c r="G48" s="36"/>
    </row>
    <row r="49" spans="2:7" x14ac:dyDescent="0.3">
      <c r="B49" s="270"/>
      <c r="C49" s="362" t="s">
        <v>664</v>
      </c>
      <c r="D49" s="362" t="str">
        <f>IF(AND(D28=0,D30=0),"Incomplete","Complete")</f>
        <v>Incomplete</v>
      </c>
      <c r="E49" s="480"/>
      <c r="F49" s="480"/>
      <c r="G49" s="36"/>
    </row>
    <row r="50" spans="2:7" x14ac:dyDescent="0.3">
      <c r="B50" s="270"/>
      <c r="C50" s="362" t="s">
        <v>332</v>
      </c>
      <c r="D50" s="362" t="str">
        <f>IF(AND(D33=0,D36=0,D38=0),"Incomplete","Complete")</f>
        <v>Incomplete</v>
      </c>
      <c r="E50" s="480"/>
      <c r="F50" s="480"/>
      <c r="G50" s="36"/>
    </row>
    <row r="51" spans="2:7" x14ac:dyDescent="0.3">
      <c r="B51" s="270"/>
      <c r="C51" s="362" t="s">
        <v>665</v>
      </c>
      <c r="D51" s="362" t="str">
        <f>IF(D40=0,"Incomplete","Complete")</f>
        <v>Incomplete</v>
      </c>
      <c r="E51" s="480"/>
      <c r="F51" s="480"/>
      <c r="G51" s="36"/>
    </row>
    <row r="52" spans="2:7" x14ac:dyDescent="0.3">
      <c r="B52" s="270"/>
      <c r="C52" s="480"/>
      <c r="D52" s="480"/>
      <c r="E52" s="480"/>
      <c r="F52" s="480"/>
      <c r="G52" s="36"/>
    </row>
    <row r="53" spans="2:7" x14ac:dyDescent="0.3">
      <c r="B53" s="270"/>
      <c r="C53" s="480"/>
      <c r="D53" s="480"/>
      <c r="E53" s="480"/>
      <c r="F53" s="480"/>
      <c r="G53" s="36"/>
    </row>
    <row r="54" spans="2:7" x14ac:dyDescent="0.3">
      <c r="B54" s="270"/>
      <c r="C54" s="480"/>
      <c r="D54" s="480"/>
      <c r="E54" s="480"/>
      <c r="F54" s="480"/>
      <c r="G54" s="36"/>
    </row>
    <row r="55" spans="2:7" x14ac:dyDescent="0.3">
      <c r="B55" s="270"/>
      <c r="C55" s="480"/>
      <c r="D55" s="480"/>
      <c r="E55" s="480"/>
      <c r="F55" s="480"/>
      <c r="G55" s="36"/>
    </row>
    <row r="56" spans="2:7" x14ac:dyDescent="0.3">
      <c r="B56" s="270"/>
      <c r="C56" s="363" t="s">
        <v>326</v>
      </c>
      <c r="D56" s="364" t="s">
        <v>307</v>
      </c>
      <c r="E56" s="480"/>
      <c r="F56" s="480"/>
      <c r="G56" s="36"/>
    </row>
    <row r="57" spans="2:7" x14ac:dyDescent="0.3">
      <c r="B57" s="270"/>
      <c r="C57" s="365" t="s">
        <v>327</v>
      </c>
      <c r="D57" s="366">
        <f>+F9</f>
        <v>0</v>
      </c>
      <c r="E57" s="480"/>
      <c r="F57" s="480"/>
      <c r="G57" s="36"/>
    </row>
    <row r="58" spans="2:7" x14ac:dyDescent="0.3">
      <c r="B58" s="270"/>
      <c r="C58" s="367" t="s">
        <v>328</v>
      </c>
      <c r="D58" s="366">
        <f>+F15</f>
        <v>0</v>
      </c>
      <c r="E58" s="480"/>
      <c r="F58" s="480"/>
      <c r="G58" s="36"/>
    </row>
    <row r="59" spans="2:7" x14ac:dyDescent="0.3">
      <c r="B59" s="270"/>
      <c r="C59" s="367" t="s">
        <v>329</v>
      </c>
      <c r="D59" s="366">
        <f>F19</f>
        <v>0</v>
      </c>
      <c r="E59" s="480"/>
      <c r="F59" s="480"/>
      <c r="G59" s="36"/>
    </row>
    <row r="60" spans="2:7" x14ac:dyDescent="0.3">
      <c r="B60" s="270"/>
      <c r="C60" s="367" t="s">
        <v>330</v>
      </c>
      <c r="D60" s="366">
        <f>+F23</f>
        <v>0</v>
      </c>
      <c r="E60" s="480"/>
      <c r="F60" s="480"/>
      <c r="G60" s="36"/>
    </row>
    <row r="61" spans="2:7" x14ac:dyDescent="0.3">
      <c r="B61" s="270"/>
      <c r="C61" s="367" t="s">
        <v>331</v>
      </c>
      <c r="D61" s="366">
        <f>F27</f>
        <v>0</v>
      </c>
      <c r="E61" s="480"/>
      <c r="F61" s="480"/>
      <c r="G61" s="36"/>
    </row>
    <row r="62" spans="2:7" x14ac:dyDescent="0.3">
      <c r="B62" s="270"/>
      <c r="C62" s="367" t="s">
        <v>332</v>
      </c>
      <c r="D62" s="368">
        <f>+F32</f>
        <v>0</v>
      </c>
      <c r="E62" s="480"/>
      <c r="F62" s="480"/>
      <c r="G62" s="36"/>
    </row>
    <row r="63" spans="2:7" x14ac:dyDescent="0.3">
      <c r="B63" s="270"/>
      <c r="C63" s="369" t="s">
        <v>333</v>
      </c>
      <c r="D63" s="370">
        <f>F40</f>
        <v>0</v>
      </c>
      <c r="E63" s="480"/>
      <c r="F63" s="480"/>
      <c r="G63" s="36"/>
    </row>
    <row r="64" spans="2:7" x14ac:dyDescent="0.3">
      <c r="B64" s="270"/>
      <c r="C64" s="480"/>
      <c r="D64" s="480"/>
      <c r="E64" s="480"/>
      <c r="F64" s="480"/>
      <c r="G64" s="36"/>
    </row>
    <row r="65" spans="2:7" x14ac:dyDescent="0.3">
      <c r="B65" s="270"/>
      <c r="C65" s="480"/>
      <c r="D65" s="480"/>
      <c r="E65" s="480"/>
      <c r="F65" s="480"/>
      <c r="G65" s="36"/>
    </row>
    <row r="66" spans="2:7" x14ac:dyDescent="0.3">
      <c r="B66" s="270"/>
      <c r="C66" s="480"/>
      <c r="D66" s="480"/>
      <c r="E66" s="480"/>
      <c r="F66" s="480"/>
      <c r="G66" s="36"/>
    </row>
    <row r="67" spans="2:7" x14ac:dyDescent="0.3">
      <c r="B67" s="270"/>
      <c r="C67" s="480"/>
      <c r="D67" s="480"/>
      <c r="E67" s="480"/>
      <c r="F67" s="480"/>
      <c r="G67" s="36"/>
    </row>
    <row r="68" spans="2:7" ht="15" thickBot="1" x14ac:dyDescent="0.35">
      <c r="B68" s="274"/>
      <c r="C68" s="276"/>
      <c r="D68" s="276"/>
      <c r="E68" s="276"/>
      <c r="F68" s="276"/>
      <c r="G68" s="371"/>
    </row>
  </sheetData>
  <sheetProtection algorithmName="SHA-512" hashValue="sEdgjjB/2I2WVoTxg+q0m1l27zsFjYmn6xBUpsyzHzHtufik3FgxS19d6eYUP5018NZMmggPDkNtuQ+2w+dw9A==" saltValue="Y1Vpvx91OS/O6Gk/x0Ah2Q==" spinCount="100000" sheet="1" objects="1" scenarios="1"/>
  <mergeCells count="14">
    <mergeCell ref="C41:C42"/>
    <mergeCell ref="D41:E41"/>
    <mergeCell ref="D42:E42"/>
    <mergeCell ref="B3:G3"/>
    <mergeCell ref="D5:F5"/>
    <mergeCell ref="D6:F6"/>
    <mergeCell ref="F15:F18"/>
    <mergeCell ref="F19:F21"/>
    <mergeCell ref="F9:F14"/>
    <mergeCell ref="F23:F26"/>
    <mergeCell ref="C27:C28"/>
    <mergeCell ref="F27:F30"/>
    <mergeCell ref="F32:F39"/>
    <mergeCell ref="D23:E23"/>
  </mergeCells>
  <conditionalFormatting sqref="D45:D51">
    <cfRule type="cellIs" dxfId="59" priority="3" operator="equal">
      <formula>"Incomplete"</formula>
    </cfRule>
    <cfRule type="cellIs" dxfId="58" priority="4" operator="equal">
      <formula>"Complete"</formula>
    </cfRule>
  </conditionalFormatting>
  <conditionalFormatting sqref="D9:D22 D24:D30 D32:D40">
    <cfRule type="cellIs" dxfId="57" priority="1" operator="equal">
      <formula>"No"</formula>
    </cfRule>
    <cfRule type="cellIs" dxfId="56" priority="2" operator="equal">
      <formula>"Yes"</formula>
    </cfRule>
  </conditionalFormatting>
  <dataValidations count="2">
    <dataValidation allowBlank="1" showErrorMessage="1" error="Please select Y or N" prompt="Please select Y or N" sqref="D9 D13 D15 D20 D29 D27" xr:uid="{EB35309D-53C9-4180-B049-64A9B0CD1ED4}"/>
    <dataValidation type="list" allowBlank="1" showErrorMessage="1" error="Please select Y or N" prompt="Please select Y or N" sqref="D17 D11" xr:uid="{C1399F79-54B4-4F22-B1BC-0A384D498A45}">
      <formula1>$B$1:$B$2</formula1>
    </dataValidation>
  </dataValidations>
  <hyperlinks>
    <hyperlink ref="D23" r:id="rId1" display="https://naturalresources.wales/evidence-and-data/research-and-reports/water-reports/river-basin-management-plans/river-basin-management-plans-published/?lang=en" xr:uid="{1E91A9F5-5626-4960-BABB-26117471A950}"/>
  </hyperlinks>
  <pageMargins left="0.7" right="0.7" top="0.75" bottom="0.75" header="0.3" footer="0.3"/>
  <pageSetup paperSize="256" orientation="portrait" horizontalDpi="203" verticalDpi="203" r:id="rId2"/>
  <drawing r:id="rId3"/>
  <extLst>
    <ext xmlns:x14="http://schemas.microsoft.com/office/spreadsheetml/2009/9/main" uri="{CCE6A557-97BC-4b89-ADB6-D9C93CAAB3DF}">
      <x14:dataValidations xmlns:xm="http://schemas.microsoft.com/office/excel/2006/main" count="1">
        <x14:dataValidation type="list" allowBlank="1" showErrorMessage="1" error="Please select Yes or No" prompt="Please select Yes or No" xr:uid="{C934F37D-916A-4113-B185-9BE7FCD92285}">
          <x14:formula1>
            <xm:f>Picklists!$W$2:$W$3</xm:f>
          </x14:formula1>
          <xm:sqref>D36 D10 D12 D14 D16 D33 D21 D24:D26 D28 D18:D19 D40 D38 D30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50033-4F1B-4D97-9DEA-FD4D1ECF30E2}">
  <dimension ref="A1:O171"/>
  <sheetViews>
    <sheetView topLeftCell="A55" zoomScale="90" zoomScaleNormal="90" workbookViewId="0">
      <selection activeCell="C3" sqref="C3"/>
    </sheetView>
  </sheetViews>
  <sheetFormatPr defaultRowHeight="14.4" x14ac:dyDescent="0.3"/>
  <cols>
    <col min="3" max="3" width="48.77734375" customWidth="1"/>
    <col min="5" max="5" width="12.5546875" customWidth="1"/>
    <col min="7" max="7" width="13" customWidth="1"/>
    <col min="8" max="8" width="18.44140625" customWidth="1"/>
    <col min="9" max="9" width="29.77734375" customWidth="1"/>
    <col min="10" max="10" width="21.77734375" customWidth="1"/>
    <col min="11" max="11" width="11.77734375" customWidth="1"/>
    <col min="12" max="12" width="10.5546875" customWidth="1"/>
  </cols>
  <sheetData>
    <row r="1" spans="2:10" x14ac:dyDescent="0.3">
      <c r="C1" s="12" t="s">
        <v>47</v>
      </c>
      <c r="D1" s="793">
        <f>+Introduction!E10</f>
        <v>0</v>
      </c>
      <c r="E1" s="793"/>
      <c r="F1" s="793"/>
    </row>
    <row r="2" spans="2:10" x14ac:dyDescent="0.3">
      <c r="C2" s="12" t="s">
        <v>795</v>
      </c>
      <c r="D2" s="793">
        <f>+Introduction!K10</f>
        <v>0</v>
      </c>
      <c r="E2" s="793"/>
      <c r="F2" s="793"/>
    </row>
    <row r="3" spans="2:10" ht="15" thickBot="1" x14ac:dyDescent="0.35"/>
    <row r="4" spans="2:10" ht="18" x14ac:dyDescent="0.35">
      <c r="B4" s="889" t="s">
        <v>335</v>
      </c>
      <c r="C4" s="890"/>
      <c r="D4" s="890"/>
      <c r="E4" s="890"/>
      <c r="F4" s="890"/>
      <c r="G4" s="890"/>
      <c r="H4" s="890"/>
      <c r="I4" s="890"/>
      <c r="J4" s="891"/>
    </row>
    <row r="5" spans="2:10" x14ac:dyDescent="0.3">
      <c r="B5" s="423"/>
      <c r="C5" s="424"/>
      <c r="D5" s="410"/>
      <c r="E5" s="424"/>
      <c r="F5" s="424"/>
      <c r="G5" s="424"/>
      <c r="H5" s="424"/>
      <c r="I5" s="424"/>
      <c r="J5" s="400"/>
    </row>
    <row r="6" spans="2:10" ht="59.25" customHeight="1" thickBot="1" x14ac:dyDescent="0.35">
      <c r="B6" s="425"/>
      <c r="C6" s="165"/>
      <c r="D6" s="166" t="s">
        <v>305</v>
      </c>
      <c r="E6" s="165" t="s">
        <v>336</v>
      </c>
      <c r="F6" s="165" t="s">
        <v>337</v>
      </c>
      <c r="G6" s="967" t="s">
        <v>338</v>
      </c>
      <c r="H6" s="968"/>
      <c r="I6" s="551" t="s">
        <v>339</v>
      </c>
      <c r="J6" s="720"/>
    </row>
    <row r="7" spans="2:10" x14ac:dyDescent="0.3">
      <c r="B7" s="426"/>
      <c r="C7" s="167"/>
      <c r="D7" s="168"/>
      <c r="E7" s="167"/>
      <c r="F7" s="167"/>
      <c r="G7" s="167"/>
      <c r="H7" s="167"/>
      <c r="I7" s="552"/>
      <c r="J7" s="721"/>
    </row>
    <row r="8" spans="2:10" x14ac:dyDescent="0.3">
      <c r="B8" s="957" t="s">
        <v>340</v>
      </c>
      <c r="C8" s="958"/>
      <c r="D8" s="958"/>
      <c r="E8" s="958"/>
      <c r="F8" s="958"/>
      <c r="G8" s="958"/>
      <c r="H8" s="958"/>
      <c r="I8" s="522"/>
      <c r="J8" s="722"/>
    </row>
    <row r="9" spans="2:10" ht="33" customHeight="1" x14ac:dyDescent="0.3">
      <c r="B9" s="427"/>
      <c r="C9" s="942" t="s">
        <v>341</v>
      </c>
      <c r="D9" s="942"/>
      <c r="E9" s="942"/>
      <c r="F9" s="942"/>
      <c r="G9" s="942"/>
      <c r="H9" s="942"/>
      <c r="I9" s="519"/>
      <c r="J9" s="723"/>
    </row>
    <row r="10" spans="2:10" ht="45.75" customHeight="1" x14ac:dyDescent="0.3">
      <c r="B10" s="428">
        <v>1</v>
      </c>
      <c r="C10" s="169" t="s">
        <v>342</v>
      </c>
      <c r="D10" s="244"/>
      <c r="E10" s="170">
        <v>2</v>
      </c>
      <c r="F10" s="246">
        <f>IF(D10="yes",2,0)</f>
        <v>0</v>
      </c>
      <c r="G10" s="969"/>
      <c r="H10" s="970"/>
      <c r="I10" s="553"/>
      <c r="J10" s="724"/>
    </row>
    <row r="11" spans="2:10" ht="60.75" customHeight="1" x14ac:dyDescent="0.3">
      <c r="B11" s="429">
        <v>2</v>
      </c>
      <c r="C11" s="172" t="s">
        <v>343</v>
      </c>
      <c r="D11" s="244"/>
      <c r="E11" s="171">
        <v>2</v>
      </c>
      <c r="F11" s="246">
        <f>IF(D11="yes",2,0)</f>
        <v>0</v>
      </c>
      <c r="G11" s="925"/>
      <c r="H11" s="946"/>
      <c r="I11" s="554"/>
      <c r="J11" s="725"/>
    </row>
    <row r="12" spans="2:10" ht="26.4" x14ac:dyDescent="0.3">
      <c r="B12" s="429">
        <v>3</v>
      </c>
      <c r="C12" s="172" t="s">
        <v>344</v>
      </c>
      <c r="D12" s="244"/>
      <c r="E12" s="171">
        <v>2</v>
      </c>
      <c r="F12" s="246">
        <f>IF(D12="yes",2,0)</f>
        <v>0</v>
      </c>
      <c r="G12" s="925"/>
      <c r="H12" s="946"/>
      <c r="I12" s="554"/>
      <c r="J12" s="725"/>
    </row>
    <row r="13" spans="2:10" ht="39.6" x14ac:dyDescent="0.3">
      <c r="B13" s="429">
        <v>4</v>
      </c>
      <c r="C13" s="172" t="s">
        <v>345</v>
      </c>
      <c r="D13" s="244"/>
      <c r="E13" s="171">
        <v>1</v>
      </c>
      <c r="F13" s="246">
        <f>IF(D13="yes",1,0)</f>
        <v>0</v>
      </c>
      <c r="G13" s="925"/>
      <c r="H13" s="946"/>
      <c r="I13" s="554"/>
      <c r="J13" s="725"/>
    </row>
    <row r="14" spans="2:10" ht="52.8" x14ac:dyDescent="0.3">
      <c r="B14" s="429">
        <v>5</v>
      </c>
      <c r="C14" s="172" t="s">
        <v>346</v>
      </c>
      <c r="D14" s="244"/>
      <c r="E14" s="171">
        <v>1</v>
      </c>
      <c r="F14" s="246">
        <f>IF(D14="yes",1,0)</f>
        <v>0</v>
      </c>
      <c r="G14" s="925"/>
      <c r="H14" s="946"/>
      <c r="I14" s="554"/>
      <c r="J14" s="725"/>
    </row>
    <row r="15" spans="2:10" ht="26.4" x14ac:dyDescent="0.3">
      <c r="B15" s="429">
        <v>6</v>
      </c>
      <c r="C15" s="172" t="s">
        <v>347</v>
      </c>
      <c r="D15" s="244"/>
      <c r="E15" s="171">
        <v>2</v>
      </c>
      <c r="F15" s="246">
        <f>IF(D15="yes",2,0)</f>
        <v>0</v>
      </c>
      <c r="G15" s="925"/>
      <c r="H15" s="946"/>
      <c r="I15" s="554"/>
      <c r="J15" s="725"/>
    </row>
    <row r="16" spans="2:10" ht="39.6" x14ac:dyDescent="0.3">
      <c r="B16" s="429">
        <v>7</v>
      </c>
      <c r="C16" s="172" t="s">
        <v>348</v>
      </c>
      <c r="D16" s="244"/>
      <c r="E16" s="171">
        <v>2</v>
      </c>
      <c r="F16" s="246">
        <f>IF(D16="yes",2,0)</f>
        <v>0</v>
      </c>
      <c r="G16" s="925"/>
      <c r="H16" s="946"/>
      <c r="I16" s="554"/>
      <c r="J16" s="725"/>
    </row>
    <row r="17" spans="2:10" ht="39.6" x14ac:dyDescent="0.3">
      <c r="B17" s="429">
        <v>8</v>
      </c>
      <c r="C17" s="172" t="s">
        <v>349</v>
      </c>
      <c r="D17" s="244"/>
      <c r="E17" s="171">
        <v>-2</v>
      </c>
      <c r="F17" s="246">
        <f>IF(D17="yes",-2,0)</f>
        <v>0</v>
      </c>
      <c r="G17" s="925"/>
      <c r="H17" s="946"/>
      <c r="I17" s="554"/>
      <c r="J17" s="725"/>
    </row>
    <row r="18" spans="2:10" ht="39.6" x14ac:dyDescent="0.3">
      <c r="B18" s="429">
        <v>9</v>
      </c>
      <c r="C18" s="172" t="s">
        <v>350</v>
      </c>
      <c r="D18" s="244"/>
      <c r="E18" s="171">
        <v>-3</v>
      </c>
      <c r="F18" s="246">
        <f>IF(D18="yes",-3,0)</f>
        <v>0</v>
      </c>
      <c r="G18" s="925"/>
      <c r="H18" s="946"/>
      <c r="I18" s="554"/>
      <c r="J18" s="725"/>
    </row>
    <row r="19" spans="2:10" x14ac:dyDescent="0.3">
      <c r="B19" s="430"/>
      <c r="C19" s="173" t="s">
        <v>351</v>
      </c>
      <c r="D19" s="174"/>
      <c r="E19" s="175">
        <v>12</v>
      </c>
      <c r="F19" s="251">
        <f>SUM(F10:F18)</f>
        <v>0</v>
      </c>
      <c r="G19" s="973">
        <f>+F19/E19</f>
        <v>0</v>
      </c>
      <c r="H19" s="974"/>
      <c r="I19" s="555"/>
      <c r="J19" s="725"/>
    </row>
    <row r="20" spans="2:10" x14ac:dyDescent="0.3">
      <c r="B20" s="431"/>
      <c r="C20" s="177"/>
      <c r="D20" s="178"/>
      <c r="E20" s="179"/>
      <c r="F20" s="180"/>
      <c r="G20" s="180"/>
      <c r="H20" s="180"/>
      <c r="I20" s="556"/>
      <c r="J20" s="725"/>
    </row>
    <row r="21" spans="2:10" x14ac:dyDescent="0.3">
      <c r="B21" s="957" t="s">
        <v>352</v>
      </c>
      <c r="C21" s="958"/>
      <c r="D21" s="958"/>
      <c r="E21" s="958"/>
      <c r="F21" s="958"/>
      <c r="G21" s="958"/>
      <c r="H21" s="958"/>
      <c r="I21" s="522"/>
      <c r="J21" s="725"/>
    </row>
    <row r="22" spans="2:10" ht="45.75" customHeight="1" x14ac:dyDescent="0.3">
      <c r="B22" s="432"/>
      <c r="C22" s="960" t="s">
        <v>353</v>
      </c>
      <c r="D22" s="960"/>
      <c r="E22" s="960"/>
      <c r="F22" s="960"/>
      <c r="G22" s="960"/>
      <c r="H22" s="960"/>
      <c r="I22" s="523"/>
      <c r="J22" s="725"/>
    </row>
    <row r="23" spans="2:10" x14ac:dyDescent="0.3">
      <c r="B23" s="433"/>
      <c r="C23" s="962" t="s">
        <v>354</v>
      </c>
      <c r="D23" s="962"/>
      <c r="E23" s="962"/>
      <c r="F23" s="962"/>
      <c r="G23" s="962"/>
      <c r="H23" s="962"/>
      <c r="I23" s="524"/>
      <c r="J23" s="725"/>
    </row>
    <row r="24" spans="2:10" x14ac:dyDescent="0.3">
      <c r="B24" s="433"/>
      <c r="C24" s="962" t="s">
        <v>355</v>
      </c>
      <c r="D24" s="962"/>
      <c r="E24" s="962"/>
      <c r="F24" s="962"/>
      <c r="G24" s="962"/>
      <c r="H24" s="962"/>
      <c r="I24" s="524"/>
      <c r="J24" s="725"/>
    </row>
    <row r="25" spans="2:10" x14ac:dyDescent="0.3">
      <c r="B25" s="434"/>
      <c r="C25" s="975" t="s">
        <v>356</v>
      </c>
      <c r="D25" s="975"/>
      <c r="E25" s="975"/>
      <c r="F25" s="975"/>
      <c r="G25" s="975"/>
      <c r="H25" s="975"/>
      <c r="I25" s="525"/>
      <c r="J25" s="725"/>
    </row>
    <row r="26" spans="2:10" ht="27.75" customHeight="1" x14ac:dyDescent="0.3">
      <c r="B26" s="435">
        <v>1</v>
      </c>
      <c r="C26" s="181" t="s">
        <v>357</v>
      </c>
      <c r="D26" s="976"/>
      <c r="E26" s="978">
        <v>3</v>
      </c>
      <c r="F26" s="980">
        <f>IF(D26="yes",3,0)</f>
        <v>0</v>
      </c>
      <c r="G26" s="982"/>
      <c r="H26" s="983"/>
      <c r="I26" s="971"/>
      <c r="J26" s="725"/>
    </row>
    <row r="27" spans="2:10" ht="72.75" customHeight="1" x14ac:dyDescent="0.3">
      <c r="B27" s="436"/>
      <c r="C27" s="182" t="s">
        <v>358</v>
      </c>
      <c r="D27" s="977"/>
      <c r="E27" s="979"/>
      <c r="F27" s="981"/>
      <c r="G27" s="984"/>
      <c r="H27" s="985"/>
      <c r="I27" s="972"/>
      <c r="J27" s="725"/>
    </row>
    <row r="28" spans="2:10" ht="47.25" customHeight="1" x14ac:dyDescent="0.3">
      <c r="B28" s="437">
        <v>2</v>
      </c>
      <c r="C28" s="172" t="s">
        <v>359</v>
      </c>
      <c r="D28" s="514"/>
      <c r="E28" s="183"/>
      <c r="F28" s="172"/>
      <c r="G28" s="988"/>
      <c r="H28" s="989"/>
      <c r="I28" s="557"/>
      <c r="J28" s="725"/>
    </row>
    <row r="29" spans="2:10" ht="63.75" customHeight="1" x14ac:dyDescent="0.3">
      <c r="B29" s="438"/>
      <c r="C29" s="184" t="s">
        <v>360</v>
      </c>
      <c r="D29" s="526"/>
      <c r="E29" s="171">
        <v>2</v>
      </c>
      <c r="F29" s="246">
        <f>IF(D29="yes",2,0)</f>
        <v>0</v>
      </c>
      <c r="G29" s="986"/>
      <c r="H29" s="987"/>
      <c r="I29" s="554"/>
      <c r="J29" s="725"/>
    </row>
    <row r="30" spans="2:10" ht="39.6" x14ac:dyDescent="0.3">
      <c r="B30" s="439"/>
      <c r="C30" s="184" t="s">
        <v>361</v>
      </c>
      <c r="D30" s="527"/>
      <c r="E30" s="171">
        <v>2</v>
      </c>
      <c r="F30" s="246">
        <f t="shared" ref="F30:F39" si="0">IF(D30="yes",2,0)</f>
        <v>0</v>
      </c>
      <c r="G30" s="986"/>
      <c r="H30" s="987"/>
      <c r="I30" s="554"/>
      <c r="J30" s="725"/>
    </row>
    <row r="31" spans="2:10" ht="63" customHeight="1" x14ac:dyDescent="0.3">
      <c r="B31" s="440"/>
      <c r="C31" s="184" t="s">
        <v>362</v>
      </c>
      <c r="D31" s="526"/>
      <c r="E31" s="171">
        <v>1</v>
      </c>
      <c r="F31" s="246">
        <f>IF(D31="yes",1,0)</f>
        <v>0</v>
      </c>
      <c r="G31" s="986"/>
      <c r="H31" s="987"/>
      <c r="I31" s="554"/>
      <c r="J31" s="725"/>
    </row>
    <row r="32" spans="2:10" ht="39.6" x14ac:dyDescent="0.3">
      <c r="B32" s="441"/>
      <c r="C32" s="184" t="s">
        <v>758</v>
      </c>
      <c r="D32" s="526"/>
      <c r="E32" s="171">
        <v>2</v>
      </c>
      <c r="F32" s="246">
        <f t="shared" si="0"/>
        <v>0</v>
      </c>
      <c r="G32" s="986"/>
      <c r="H32" s="987"/>
      <c r="I32" s="554"/>
      <c r="J32" s="725"/>
    </row>
    <row r="33" spans="2:10" ht="26.4" x14ac:dyDescent="0.3">
      <c r="B33" s="441"/>
      <c r="C33" s="184" t="s">
        <v>363</v>
      </c>
      <c r="D33" s="526"/>
      <c r="E33" s="171">
        <v>2</v>
      </c>
      <c r="F33" s="246">
        <f t="shared" si="0"/>
        <v>0</v>
      </c>
      <c r="G33" s="986"/>
      <c r="H33" s="987"/>
      <c r="I33" s="554"/>
      <c r="J33" s="725"/>
    </row>
    <row r="34" spans="2:10" ht="39.6" x14ac:dyDescent="0.3">
      <c r="B34" s="429">
        <v>3</v>
      </c>
      <c r="C34" s="172" t="s">
        <v>364</v>
      </c>
      <c r="D34" s="526"/>
      <c r="E34" s="171">
        <v>1</v>
      </c>
      <c r="F34" s="246">
        <f>IF(D34="yes",1,0)</f>
        <v>0</v>
      </c>
      <c r="G34" s="986"/>
      <c r="H34" s="987"/>
      <c r="I34" s="554"/>
      <c r="J34" s="725"/>
    </row>
    <row r="35" spans="2:10" ht="39.6" x14ac:dyDescent="0.3">
      <c r="B35" s="429">
        <v>4</v>
      </c>
      <c r="C35" s="172" t="s">
        <v>365</v>
      </c>
      <c r="D35" s="526"/>
      <c r="E35" s="171">
        <v>1</v>
      </c>
      <c r="F35" s="246">
        <f>IF(D35="yes",1,0)</f>
        <v>0</v>
      </c>
      <c r="G35" s="986"/>
      <c r="H35" s="987"/>
      <c r="I35" s="554"/>
      <c r="J35" s="725"/>
    </row>
    <row r="36" spans="2:10" ht="52.8" x14ac:dyDescent="0.3">
      <c r="B36" s="429">
        <v>5</v>
      </c>
      <c r="C36" s="172" t="s">
        <v>366</v>
      </c>
      <c r="D36" s="526"/>
      <c r="E36" s="171">
        <v>1</v>
      </c>
      <c r="F36" s="246">
        <f>IF(D36="yes",1,0)</f>
        <v>0</v>
      </c>
      <c r="G36" s="986"/>
      <c r="H36" s="987"/>
      <c r="I36" s="554"/>
      <c r="J36" s="725"/>
    </row>
    <row r="37" spans="2:10" ht="39.6" x14ac:dyDescent="0.3">
      <c r="B37" s="429">
        <v>6</v>
      </c>
      <c r="C37" s="172" t="s">
        <v>367</v>
      </c>
      <c r="D37" s="526"/>
      <c r="E37" s="171">
        <v>-2</v>
      </c>
      <c r="F37" s="246">
        <f>IF(D37="yes",-2,0)</f>
        <v>0</v>
      </c>
      <c r="G37" s="986"/>
      <c r="H37" s="987"/>
      <c r="I37" s="554"/>
      <c r="J37" s="725"/>
    </row>
    <row r="38" spans="2:10" ht="39.6" x14ac:dyDescent="0.3">
      <c r="B38" s="429">
        <v>7</v>
      </c>
      <c r="C38" s="172" t="s">
        <v>727</v>
      </c>
      <c r="D38" s="526"/>
      <c r="E38" s="171">
        <v>-2</v>
      </c>
      <c r="F38" s="246">
        <f>IF(D38="no",-2,0)</f>
        <v>0</v>
      </c>
      <c r="G38" s="986"/>
      <c r="H38" s="987"/>
      <c r="I38" s="554"/>
      <c r="J38" s="725"/>
    </row>
    <row r="39" spans="2:10" ht="26.4" x14ac:dyDescent="0.3">
      <c r="B39" s="429">
        <v>8</v>
      </c>
      <c r="C39" s="172" t="s">
        <v>368</v>
      </c>
      <c r="D39" s="245"/>
      <c r="E39" s="171">
        <v>2</v>
      </c>
      <c r="F39" s="246">
        <f t="shared" si="0"/>
        <v>0</v>
      </c>
      <c r="G39" s="986"/>
      <c r="H39" s="987"/>
      <c r="I39" s="554"/>
      <c r="J39" s="725"/>
    </row>
    <row r="40" spans="2:10" x14ac:dyDescent="0.3">
      <c r="B40" s="442"/>
      <c r="C40" s="185" t="s">
        <v>369</v>
      </c>
      <c r="D40" s="186"/>
      <c r="E40" s="187">
        <v>17</v>
      </c>
      <c r="F40" s="250">
        <f>SUM(F26:F39)</f>
        <v>0</v>
      </c>
      <c r="G40" s="955">
        <f>+F40/E40</f>
        <v>0</v>
      </c>
      <c r="H40" s="956"/>
      <c r="I40" s="558"/>
      <c r="J40" s="725"/>
    </row>
    <row r="41" spans="2:10" x14ac:dyDescent="0.3">
      <c r="B41" s="443"/>
      <c r="C41" s="188"/>
      <c r="D41" s="189"/>
      <c r="E41" s="190"/>
      <c r="F41" s="188"/>
      <c r="G41" s="191"/>
      <c r="H41" s="191"/>
      <c r="I41" s="459"/>
      <c r="J41" s="725"/>
    </row>
    <row r="42" spans="2:10" x14ac:dyDescent="0.3">
      <c r="B42" s="957" t="s">
        <v>370</v>
      </c>
      <c r="C42" s="958"/>
      <c r="D42" s="958"/>
      <c r="E42" s="958"/>
      <c r="F42" s="958"/>
      <c r="G42" s="958"/>
      <c r="H42" s="958"/>
      <c r="I42" s="522"/>
      <c r="J42" s="725"/>
    </row>
    <row r="43" spans="2:10" ht="32.25" customHeight="1" x14ac:dyDescent="0.3">
      <c r="B43" s="444"/>
      <c r="C43" s="959" t="s">
        <v>371</v>
      </c>
      <c r="D43" s="960"/>
      <c r="E43" s="960"/>
      <c r="F43" s="960"/>
      <c r="G43" s="960"/>
      <c r="H43" s="960"/>
      <c r="I43" s="523"/>
      <c r="J43" s="725"/>
    </row>
    <row r="44" spans="2:10" x14ac:dyDescent="0.3">
      <c r="B44" s="445"/>
      <c r="C44" s="961" t="s">
        <v>372</v>
      </c>
      <c r="D44" s="962"/>
      <c r="E44" s="962"/>
      <c r="F44" s="962"/>
      <c r="G44" s="962"/>
      <c r="H44" s="962"/>
      <c r="I44" s="524"/>
      <c r="J44" s="725"/>
    </row>
    <row r="45" spans="2:10" x14ac:dyDescent="0.3">
      <c r="B45" s="445"/>
      <c r="C45" s="961" t="s">
        <v>373</v>
      </c>
      <c r="D45" s="962"/>
      <c r="E45" s="962"/>
      <c r="F45" s="962"/>
      <c r="G45" s="962"/>
      <c r="H45" s="962"/>
      <c r="I45" s="524"/>
      <c r="J45" s="725"/>
    </row>
    <row r="46" spans="2:10" x14ac:dyDescent="0.3">
      <c r="B46" s="445"/>
      <c r="C46" s="961" t="s">
        <v>374</v>
      </c>
      <c r="D46" s="962"/>
      <c r="E46" s="962"/>
      <c r="F46" s="962"/>
      <c r="G46" s="962"/>
      <c r="H46" s="962"/>
      <c r="I46" s="559"/>
      <c r="J46" s="725"/>
    </row>
    <row r="47" spans="2:10" x14ac:dyDescent="0.3">
      <c r="B47" s="445"/>
      <c r="C47" s="961"/>
      <c r="D47" s="962"/>
      <c r="E47" s="962"/>
      <c r="F47" s="962"/>
      <c r="G47" s="962"/>
      <c r="H47" s="962"/>
      <c r="I47" s="524"/>
      <c r="J47" s="725"/>
    </row>
    <row r="48" spans="2:10" x14ac:dyDescent="0.3">
      <c r="B48" s="445"/>
      <c r="C48" s="953" t="s">
        <v>375</v>
      </c>
      <c r="D48" s="954"/>
      <c r="E48" s="954"/>
      <c r="F48" s="954"/>
      <c r="G48" s="954"/>
      <c r="H48" s="954"/>
      <c r="I48" s="560"/>
      <c r="J48" s="725"/>
    </row>
    <row r="49" spans="1:11" x14ac:dyDescent="0.3">
      <c r="B49" s="445"/>
      <c r="C49" s="953" t="s">
        <v>376</v>
      </c>
      <c r="D49" s="954"/>
      <c r="E49" s="954"/>
      <c r="F49" s="954"/>
      <c r="G49" s="954"/>
      <c r="H49" s="954"/>
      <c r="I49" s="560"/>
      <c r="J49" s="725"/>
    </row>
    <row r="50" spans="1:11" x14ac:dyDescent="0.3">
      <c r="B50" s="446"/>
      <c r="C50" s="953" t="s">
        <v>377</v>
      </c>
      <c r="D50" s="954"/>
      <c r="E50" s="954"/>
      <c r="F50" s="954"/>
      <c r="G50" s="954"/>
      <c r="H50" s="954"/>
      <c r="I50" s="561"/>
      <c r="J50" s="725"/>
    </row>
    <row r="51" spans="1:11" ht="55.5" customHeight="1" x14ac:dyDescent="0.3">
      <c r="B51" s="428">
        <v>1</v>
      </c>
      <c r="C51" s="169" t="s">
        <v>378</v>
      </c>
      <c r="D51" s="245"/>
      <c r="E51" s="170">
        <v>4</v>
      </c>
      <c r="F51" s="247">
        <f>IF(D51="yes",4,0)</f>
        <v>0</v>
      </c>
      <c r="G51" s="965"/>
      <c r="H51" s="966"/>
      <c r="I51" s="562"/>
      <c r="J51" s="725"/>
    </row>
    <row r="52" spans="1:11" ht="26.4" x14ac:dyDescent="0.3">
      <c r="B52" s="429">
        <v>2</v>
      </c>
      <c r="C52" s="172" t="s">
        <v>379</v>
      </c>
      <c r="D52" s="245"/>
      <c r="E52" s="171">
        <v>1</v>
      </c>
      <c r="F52" s="247">
        <f>IF(D52="no",1,0)</f>
        <v>0</v>
      </c>
      <c r="G52" s="963"/>
      <c r="H52" s="964"/>
      <c r="I52" s="554"/>
      <c r="J52" s="725"/>
    </row>
    <row r="53" spans="1:11" ht="71.25" customHeight="1" x14ac:dyDescent="0.3">
      <c r="A53" s="145"/>
      <c r="B53" s="447">
        <v>2.1</v>
      </c>
      <c r="C53" s="184" t="s">
        <v>678</v>
      </c>
      <c r="D53" s="245"/>
      <c r="E53" s="171">
        <v>-2</v>
      </c>
      <c r="F53" s="247">
        <f>IF(D53="NO",-2,0)</f>
        <v>0</v>
      </c>
      <c r="G53" s="947"/>
      <c r="H53" s="948"/>
      <c r="I53" s="554"/>
      <c r="J53" s="726"/>
    </row>
    <row r="54" spans="1:11" ht="55.5" customHeight="1" x14ac:dyDescent="0.3">
      <c r="B54" s="429">
        <v>3</v>
      </c>
      <c r="C54" s="172" t="s">
        <v>380</v>
      </c>
      <c r="D54" s="245"/>
      <c r="E54" s="171">
        <v>1</v>
      </c>
      <c r="F54" s="247">
        <f>IF(D54="yes",1,0)</f>
        <v>0</v>
      </c>
      <c r="G54" s="925"/>
      <c r="H54" s="946"/>
      <c r="I54" s="554"/>
      <c r="J54" s="725"/>
    </row>
    <row r="55" spans="1:11" ht="49.5" customHeight="1" x14ac:dyDescent="0.3">
      <c r="B55" s="429">
        <v>4</v>
      </c>
      <c r="C55" s="172" t="s">
        <v>381</v>
      </c>
      <c r="D55" s="245"/>
      <c r="E55" s="171">
        <v>1</v>
      </c>
      <c r="F55" s="247">
        <f>IF(D55="yes",1,0)</f>
        <v>0</v>
      </c>
      <c r="G55" s="925"/>
      <c r="H55" s="946"/>
      <c r="I55" s="554"/>
      <c r="J55" s="725"/>
    </row>
    <row r="56" spans="1:11" ht="68.25" customHeight="1" x14ac:dyDescent="0.3">
      <c r="B56" s="429">
        <v>5</v>
      </c>
      <c r="C56" s="172" t="s">
        <v>382</v>
      </c>
      <c r="D56" s="245"/>
      <c r="E56" s="171">
        <v>2</v>
      </c>
      <c r="F56" s="247">
        <f>IF(D56="yes",2,0)</f>
        <v>0</v>
      </c>
      <c r="G56" s="925"/>
      <c r="H56" s="946"/>
      <c r="I56" s="554"/>
      <c r="J56" s="725"/>
    </row>
    <row r="57" spans="1:11" ht="69.75" customHeight="1" x14ac:dyDescent="0.3">
      <c r="B57" s="429">
        <v>6</v>
      </c>
      <c r="C57" s="172" t="s">
        <v>383</v>
      </c>
      <c r="D57" s="245"/>
      <c r="E57" s="171">
        <v>-2</v>
      </c>
      <c r="F57" s="247">
        <f>IF(D57="yes",-2,0)</f>
        <v>0</v>
      </c>
      <c r="G57" s="925"/>
      <c r="H57" s="946"/>
      <c r="I57" s="554"/>
      <c r="J57" s="725"/>
    </row>
    <row r="58" spans="1:11" ht="71.25" customHeight="1" x14ac:dyDescent="0.3">
      <c r="B58" s="429">
        <v>7</v>
      </c>
      <c r="C58" s="172" t="s">
        <v>384</v>
      </c>
      <c r="D58" s="245"/>
      <c r="E58" s="171">
        <v>3</v>
      </c>
      <c r="F58" s="247">
        <f>IF(D58="yes",3,0)</f>
        <v>0</v>
      </c>
      <c r="G58" s="925"/>
      <c r="H58" s="946"/>
      <c r="I58" s="554"/>
      <c r="J58" s="725"/>
    </row>
    <row r="59" spans="1:11" x14ac:dyDescent="0.3">
      <c r="B59" s="442"/>
      <c r="C59" s="185" t="s">
        <v>385</v>
      </c>
      <c r="D59" s="186"/>
      <c r="E59" s="187">
        <f>SUMIF(E51:E58,"&gt;0",E51:E58)</f>
        <v>12</v>
      </c>
      <c r="F59" s="250">
        <f>SUM(F51:F58)</f>
        <v>0</v>
      </c>
      <c r="G59" s="949">
        <f>+F59/E59</f>
        <v>0</v>
      </c>
      <c r="H59" s="950"/>
      <c r="I59" s="563"/>
      <c r="J59" s="725"/>
    </row>
    <row r="60" spans="1:11" x14ac:dyDescent="0.3">
      <c r="B60" s="443"/>
      <c r="C60" s="188"/>
      <c r="D60" s="189"/>
      <c r="E60" s="190"/>
      <c r="F60" s="188"/>
      <c r="G60" s="191"/>
      <c r="H60" s="191"/>
      <c r="I60" s="459"/>
      <c r="J60" s="725"/>
    </row>
    <row r="61" spans="1:11" x14ac:dyDescent="0.3">
      <c r="B61" s="957" t="s">
        <v>386</v>
      </c>
      <c r="C61" s="958"/>
      <c r="D61" s="958"/>
      <c r="E61" s="958"/>
      <c r="F61" s="958"/>
      <c r="G61" s="958"/>
      <c r="H61" s="958"/>
      <c r="I61" s="522"/>
      <c r="J61" s="725"/>
    </row>
    <row r="62" spans="1:11" ht="33" customHeight="1" x14ac:dyDescent="0.3">
      <c r="B62" s="521"/>
      <c r="C62" s="951" t="s">
        <v>674</v>
      </c>
      <c r="D62" s="952"/>
      <c r="E62" s="952"/>
      <c r="F62" s="952"/>
      <c r="G62" s="952"/>
      <c r="H62" s="952"/>
      <c r="I62" s="522"/>
      <c r="J62" s="725"/>
    </row>
    <row r="63" spans="1:11" ht="33.75" customHeight="1" x14ac:dyDescent="0.3">
      <c r="B63" s="448"/>
      <c r="C63" s="942" t="s">
        <v>759</v>
      </c>
      <c r="D63" s="942"/>
      <c r="E63" s="942"/>
      <c r="F63" s="942"/>
      <c r="G63" s="942"/>
      <c r="H63" s="942"/>
      <c r="I63" s="519"/>
      <c r="J63" s="725"/>
    </row>
    <row r="64" spans="1:11" ht="45" customHeight="1" x14ac:dyDescent="0.3">
      <c r="B64" s="449">
        <v>1</v>
      </c>
      <c r="C64" s="943" t="s">
        <v>387</v>
      </c>
      <c r="D64" s="944"/>
      <c r="E64" s="945"/>
      <c r="F64" s="945"/>
      <c r="G64" s="945"/>
      <c r="H64" s="945"/>
      <c r="I64" s="520"/>
      <c r="J64" s="725"/>
      <c r="K64" s="588"/>
    </row>
    <row r="65" spans="2:12" ht="59.25" customHeight="1" x14ac:dyDescent="0.3">
      <c r="B65" s="511">
        <v>1.1000000000000001</v>
      </c>
      <c r="C65" s="192" t="s">
        <v>680</v>
      </c>
      <c r="D65" s="245"/>
      <c r="E65" s="291">
        <v>20</v>
      </c>
      <c r="F65" s="248">
        <f>IF(D65="yes",20,0)</f>
        <v>0</v>
      </c>
      <c r="G65" s="925"/>
      <c r="H65" s="946"/>
      <c r="I65" s="564"/>
      <c r="J65" s="727" t="str">
        <f>IF(OR(AND(D65="yes",I65=""),(AND(D65="",I65="")),D65=""),"incomplete","complete")</f>
        <v>incomplete</v>
      </c>
      <c r="K65" s="594" t="str">
        <f>IF(D65="yes", "Enter details of your EMAS certifcate number, certification body and their UKAS registration number into cell I65","")</f>
        <v/>
      </c>
      <c r="L65" s="583"/>
    </row>
    <row r="66" spans="2:12" ht="76.5" customHeight="1" x14ac:dyDescent="0.3">
      <c r="B66" s="511">
        <v>1.2</v>
      </c>
      <c r="C66" s="192" t="s">
        <v>679</v>
      </c>
      <c r="D66" s="245"/>
      <c r="E66" s="291">
        <v>15</v>
      </c>
      <c r="F66" s="248">
        <f>IF(D66="yes",15,0)</f>
        <v>0</v>
      </c>
      <c r="G66" s="925"/>
      <c r="H66" s="946"/>
      <c r="I66" s="564"/>
      <c r="J66" s="727" t="str">
        <f>IF(OR(AND(D66="yes",I66=""),(AND(D66="",I66="")),D66=""),"incomplete","complete")</f>
        <v>incomplete</v>
      </c>
      <c r="K66" s="595" t="str">
        <f>IF(D66="yes", "Enter details of your EMS certifcate number, certification body and their UKAS registration number into cell I66","")</f>
        <v/>
      </c>
      <c r="L66" s="583"/>
    </row>
    <row r="67" spans="2:12" ht="66" x14ac:dyDescent="0.3">
      <c r="B67" s="511">
        <v>1.3</v>
      </c>
      <c r="C67" s="192" t="s">
        <v>748</v>
      </c>
      <c r="D67" s="245"/>
      <c r="E67" s="292">
        <v>12</v>
      </c>
      <c r="F67" s="248">
        <f>IF(D67="yes",12,0)</f>
        <v>0</v>
      </c>
      <c r="G67" s="925"/>
      <c r="H67" s="946"/>
      <c r="I67" s="564"/>
      <c r="J67" s="727" t="str">
        <f>IF(OR(AND(D67="yes",I67=""),(AND(D67="",I67="")),D67=""),"incomplete","complete")</f>
        <v>incomplete</v>
      </c>
      <c r="K67" s="595" t="str">
        <f>IF(D67="yes", "Enter details of your EMS certifcate number, certification body and their UKAS registration number into cell I67","")</f>
        <v/>
      </c>
      <c r="L67" s="583"/>
    </row>
    <row r="68" spans="2:12" x14ac:dyDescent="0.3">
      <c r="B68" s="442"/>
      <c r="C68" s="193" t="s">
        <v>388</v>
      </c>
      <c r="D68" s="514"/>
      <c r="E68" s="514">
        <v>20</v>
      </c>
      <c r="F68" s="249">
        <f>IF(D65="yes",F65,(IF(D66="yes",F66,(IF(D67="yes",F67,0)))))</f>
        <v>0</v>
      </c>
      <c r="G68" s="938">
        <f>+F68/E68</f>
        <v>0</v>
      </c>
      <c r="H68" s="939"/>
      <c r="I68" s="565" t="s">
        <v>431</v>
      </c>
      <c r="J68" s="725"/>
    </row>
    <row r="69" spans="2:12" x14ac:dyDescent="0.3">
      <c r="B69" s="450">
        <v>2</v>
      </c>
      <c r="C69" s="940" t="s">
        <v>658</v>
      </c>
      <c r="D69" s="941"/>
      <c r="E69" s="941"/>
      <c r="F69" s="941"/>
      <c r="G69" s="941"/>
      <c r="H69" s="941"/>
      <c r="I69" s="941"/>
      <c r="J69" s="725"/>
    </row>
    <row r="70" spans="2:12" ht="47.25" customHeight="1" x14ac:dyDescent="0.3">
      <c r="B70" s="437">
        <v>2.1</v>
      </c>
      <c r="C70" s="935" t="s">
        <v>389</v>
      </c>
      <c r="D70" s="937"/>
      <c r="E70" s="937"/>
      <c r="F70" s="937"/>
      <c r="G70" s="937"/>
      <c r="H70" s="937"/>
      <c r="I70" s="937"/>
      <c r="J70" s="725"/>
    </row>
    <row r="71" spans="2:12" ht="90.75" customHeight="1" x14ac:dyDescent="0.3">
      <c r="B71" s="429"/>
      <c r="C71" s="194" t="s">
        <v>390</v>
      </c>
      <c r="D71" s="245"/>
      <c r="E71" s="293">
        <v>1</v>
      </c>
      <c r="F71" s="246">
        <f>IF(D71="Yes",1,0)</f>
        <v>0</v>
      </c>
      <c r="G71" s="925"/>
      <c r="H71" s="926"/>
      <c r="I71" s="554"/>
      <c r="J71" s="727" t="str">
        <f>IF(OR(AND(D71="yes",I71=""),(AND(D71="",I71="")),D71=""),"incomplete","complete")</f>
        <v>incomplete</v>
      </c>
    </row>
    <row r="72" spans="2:12" ht="53.25" customHeight="1" x14ac:dyDescent="0.3">
      <c r="B72" s="429"/>
      <c r="C72" s="194" t="s">
        <v>391</v>
      </c>
      <c r="D72" s="245"/>
      <c r="E72" s="293">
        <v>1</v>
      </c>
      <c r="F72" s="246">
        <f t="shared" ref="F72:F83" si="1">IF(D72="Yes",1,0)</f>
        <v>0</v>
      </c>
      <c r="G72" s="925"/>
      <c r="H72" s="926"/>
      <c r="I72" s="554"/>
      <c r="J72" s="727" t="str">
        <f>IF(OR(AND(D72="yes",I72=""),(AND(D72="",I72="")),D72=""),"incomplete","complete")</f>
        <v>incomplete</v>
      </c>
    </row>
    <row r="73" spans="2:12" ht="39.6" x14ac:dyDescent="0.3">
      <c r="B73" s="451"/>
      <c r="C73" s="195" t="s">
        <v>392</v>
      </c>
      <c r="D73" s="245"/>
      <c r="E73" s="294">
        <v>1</v>
      </c>
      <c r="F73" s="246">
        <f t="shared" si="1"/>
        <v>0</v>
      </c>
      <c r="G73" s="925"/>
      <c r="H73" s="926"/>
      <c r="I73" s="566"/>
      <c r="J73" s="727" t="str">
        <f>IF(OR(AND(D73="yes",I73=""),(AND(D73="",I73="")),D73=""),"incomplete","complete")</f>
        <v>incomplete</v>
      </c>
    </row>
    <row r="74" spans="2:12" ht="40.5" customHeight="1" x14ac:dyDescent="0.3">
      <c r="B74" s="452">
        <v>2.2000000000000002</v>
      </c>
      <c r="C74" s="935" t="s">
        <v>393</v>
      </c>
      <c r="D74" s="936"/>
      <c r="E74" s="937"/>
      <c r="F74" s="937"/>
      <c r="G74" s="937"/>
      <c r="H74" s="937"/>
      <c r="I74" s="567"/>
      <c r="J74" s="725"/>
    </row>
    <row r="75" spans="2:12" ht="72.75" customHeight="1" x14ac:dyDescent="0.3">
      <c r="B75" s="441"/>
      <c r="C75" s="194" t="s">
        <v>394</v>
      </c>
      <c r="D75" s="245"/>
      <c r="E75" s="295">
        <v>1</v>
      </c>
      <c r="F75" s="246">
        <f t="shared" si="1"/>
        <v>0</v>
      </c>
      <c r="G75" s="925"/>
      <c r="H75" s="926"/>
      <c r="I75" s="554"/>
      <c r="J75" s="727" t="str">
        <f t="shared" ref="J75:J81" si="2">IF(OR(AND(D75="yes",I75=""),(AND(D75="",I75="")),D75=""),"incomplete","complete")</f>
        <v>incomplete</v>
      </c>
    </row>
    <row r="76" spans="2:12" ht="27" customHeight="1" x14ac:dyDescent="0.3">
      <c r="B76" s="441"/>
      <c r="C76" s="194" t="s">
        <v>395</v>
      </c>
      <c r="D76" s="245"/>
      <c r="E76" s="295">
        <v>1</v>
      </c>
      <c r="F76" s="246">
        <f t="shared" si="1"/>
        <v>0</v>
      </c>
      <c r="G76" s="925"/>
      <c r="H76" s="926"/>
      <c r="I76" s="568"/>
      <c r="J76" s="727" t="str">
        <f t="shared" si="2"/>
        <v>incomplete</v>
      </c>
    </row>
    <row r="77" spans="2:12" ht="31.5" customHeight="1" x14ac:dyDescent="0.3">
      <c r="B77" s="441"/>
      <c r="C77" s="194" t="s">
        <v>396</v>
      </c>
      <c r="D77" s="245"/>
      <c r="E77" s="295">
        <v>1</v>
      </c>
      <c r="F77" s="246">
        <f t="shared" si="1"/>
        <v>0</v>
      </c>
      <c r="G77" s="925"/>
      <c r="H77" s="926"/>
      <c r="I77" s="554"/>
      <c r="J77" s="727" t="str">
        <f t="shared" si="2"/>
        <v>incomplete</v>
      </c>
    </row>
    <row r="78" spans="2:12" ht="70.5" customHeight="1" x14ac:dyDescent="0.3">
      <c r="B78" s="438"/>
      <c r="C78" s="195" t="s">
        <v>397</v>
      </c>
      <c r="D78" s="245"/>
      <c r="E78" s="296">
        <v>1</v>
      </c>
      <c r="F78" s="246">
        <f t="shared" si="1"/>
        <v>0</v>
      </c>
      <c r="G78" s="925"/>
      <c r="H78" s="926"/>
      <c r="I78" s="566"/>
      <c r="J78" s="727" t="str">
        <f t="shared" si="2"/>
        <v>incomplete</v>
      </c>
    </row>
    <row r="79" spans="2:12" ht="40.5" customHeight="1" x14ac:dyDescent="0.3">
      <c r="B79" s="453">
        <v>2.2999999999999998</v>
      </c>
      <c r="C79" s="309" t="s">
        <v>398</v>
      </c>
      <c r="D79" s="245"/>
      <c r="E79" s="297">
        <v>1</v>
      </c>
      <c r="F79" s="246">
        <f t="shared" si="1"/>
        <v>0</v>
      </c>
      <c r="G79" s="925"/>
      <c r="H79" s="926"/>
      <c r="I79" s="569"/>
      <c r="J79" s="727" t="str">
        <f t="shared" si="2"/>
        <v>incomplete</v>
      </c>
    </row>
    <row r="80" spans="2:12" ht="103.5" customHeight="1" x14ac:dyDescent="0.3">
      <c r="B80" s="454">
        <v>2.4</v>
      </c>
      <c r="C80" s="310" t="s">
        <v>399</v>
      </c>
      <c r="D80" s="245"/>
      <c r="E80" s="298">
        <v>2</v>
      </c>
      <c r="F80" s="246">
        <f>IF(D80="Yes",2,0)</f>
        <v>0</v>
      </c>
      <c r="G80" s="925"/>
      <c r="H80" s="926"/>
      <c r="I80" s="570"/>
      <c r="J80" s="727" t="str">
        <f t="shared" si="2"/>
        <v>incomplete</v>
      </c>
    </row>
    <row r="81" spans="2:12" ht="98.25" customHeight="1" x14ac:dyDescent="0.3">
      <c r="B81" s="436">
        <v>2.5</v>
      </c>
      <c r="C81" s="311" t="s">
        <v>400</v>
      </c>
      <c r="D81" s="245"/>
      <c r="E81" s="299">
        <v>1</v>
      </c>
      <c r="F81" s="246">
        <f t="shared" si="1"/>
        <v>0</v>
      </c>
      <c r="G81" s="925"/>
      <c r="H81" s="926"/>
      <c r="I81" s="571"/>
      <c r="J81" s="727" t="str">
        <f t="shared" si="2"/>
        <v>incomplete</v>
      </c>
    </row>
    <row r="82" spans="2:12" ht="37.5" customHeight="1" x14ac:dyDescent="0.3">
      <c r="B82" s="436"/>
      <c r="C82" s="932" t="s">
        <v>673</v>
      </c>
      <c r="D82" s="933"/>
      <c r="E82" s="933"/>
      <c r="F82" s="934"/>
      <c r="G82" s="516"/>
      <c r="H82" s="517"/>
      <c r="I82" s="571"/>
      <c r="J82" s="725"/>
    </row>
    <row r="83" spans="2:12" ht="113.25" customHeight="1" x14ac:dyDescent="0.3">
      <c r="B83" s="455">
        <v>3</v>
      </c>
      <c r="C83" s="196" t="s">
        <v>659</v>
      </c>
      <c r="D83" s="252"/>
      <c r="E83" s="300">
        <v>1</v>
      </c>
      <c r="F83" s="246">
        <f t="shared" si="1"/>
        <v>0</v>
      </c>
      <c r="G83" s="925"/>
      <c r="H83" s="926"/>
      <c r="I83" s="572"/>
      <c r="J83" s="728" t="str">
        <f>IF(OR(AND(D65="yes",I65="",D83=""),OR(AND(D66="yes",D83="yes",I83=""),D83=""),OR(AND(D67="yes",D83="yes",I83=""),D83=""),OR(AND(D65="no",D66="no",D67="no",D83="yes",I83="")),D83=""),"incomplete","complete")</f>
        <v>incomplete</v>
      </c>
      <c r="K83" s="595" t="str">
        <f>IF(D83="Yes","Provide a link to the public environmental statement in cell I83","")</f>
        <v/>
      </c>
      <c r="L83" s="583"/>
    </row>
    <row r="84" spans="2:12" ht="68.25" customHeight="1" x14ac:dyDescent="0.3">
      <c r="B84" s="455">
        <v>4</v>
      </c>
      <c r="C84" s="196" t="s">
        <v>669</v>
      </c>
      <c r="D84" s="252"/>
      <c r="E84" s="300">
        <v>-2</v>
      </c>
      <c r="F84" s="254">
        <f>IF(D84="none",0,IF(D84="5 or more",10,+E84*D84))</f>
        <v>0</v>
      </c>
      <c r="G84" s="925"/>
      <c r="H84" s="926"/>
      <c r="I84" s="573"/>
      <c r="J84" s="729" t="str">
        <f>IF(OR(D8="none",D84&gt;0),"complete","InComplete")</f>
        <v>InComplete</v>
      </c>
    </row>
    <row r="85" spans="2:12" x14ac:dyDescent="0.3">
      <c r="B85" s="456"/>
      <c r="C85" s="197" t="s">
        <v>401</v>
      </c>
      <c r="D85" s="198"/>
      <c r="E85" s="198">
        <v>20</v>
      </c>
      <c r="F85" s="253">
        <f>SUM(F75:F84)+SUM(F68:F73)</f>
        <v>0</v>
      </c>
      <c r="G85" s="930">
        <f>+F85/E85</f>
        <v>0</v>
      </c>
      <c r="H85" s="931"/>
      <c r="I85" s="191"/>
      <c r="J85" s="725"/>
      <c r="K85" s="704"/>
    </row>
    <row r="86" spans="2:12" x14ac:dyDescent="0.3">
      <c r="B86" s="457"/>
      <c r="C86" s="199"/>
      <c r="D86" s="200"/>
      <c r="E86" s="201"/>
      <c r="F86" s="201"/>
      <c r="G86" s="458"/>
      <c r="H86" s="459"/>
      <c r="I86" s="574">
        <v>45017</v>
      </c>
      <c r="J86" s="725"/>
      <c r="K86" s="704"/>
    </row>
    <row r="87" spans="2:12" ht="15" customHeight="1" x14ac:dyDescent="0.3">
      <c r="B87" s="927" t="s">
        <v>402</v>
      </c>
      <c r="C87" s="928"/>
      <c r="D87" s="928"/>
      <c r="E87" s="518"/>
      <c r="F87" s="518"/>
      <c r="G87" s="701"/>
      <c r="H87" s="701"/>
      <c r="I87" s="202"/>
      <c r="J87" s="725"/>
      <c r="K87" s="704"/>
    </row>
    <row r="88" spans="2:12" ht="37.5" customHeight="1" x14ac:dyDescent="0.3">
      <c r="B88" s="460"/>
      <c r="C88" s="203"/>
      <c r="D88" s="203"/>
      <c r="E88" s="203"/>
      <c r="F88" s="203"/>
      <c r="G88" s="710" t="s">
        <v>761</v>
      </c>
      <c r="H88" s="710" t="s">
        <v>776</v>
      </c>
      <c r="I88" s="710" t="s">
        <v>784</v>
      </c>
      <c r="J88" s="725"/>
      <c r="K88" s="704"/>
    </row>
    <row r="89" spans="2:12" x14ac:dyDescent="0.3">
      <c r="B89" s="511">
        <v>1</v>
      </c>
      <c r="C89" s="929" t="s">
        <v>660</v>
      </c>
      <c r="D89" s="908">
        <f>COUNT(H89:H94)</f>
        <v>0</v>
      </c>
      <c r="E89" s="919" t="s">
        <v>403</v>
      </c>
      <c r="F89" s="711" t="str">
        <f>IF(ISBLANK(G89),"",IF(I89&lt;$I$86,"Spent",IF(F88="SPENT",1,+F88+1)))</f>
        <v/>
      </c>
      <c r="G89" s="714"/>
      <c r="H89" s="713"/>
      <c r="I89" s="713"/>
      <c r="J89" s="725"/>
      <c r="K89" s="307"/>
    </row>
    <row r="90" spans="2:12" x14ac:dyDescent="0.3">
      <c r="B90" s="512"/>
      <c r="C90" s="906"/>
      <c r="D90" s="909"/>
      <c r="E90" s="919"/>
      <c r="F90" s="711" t="str">
        <f>IF(ISBLANK(G90),"",IF(I90&lt;$I$86,"Spent",IF(F89="SPENT",1,+F89+1)))</f>
        <v/>
      </c>
      <c r="G90" s="714"/>
      <c r="H90" s="713"/>
      <c r="I90" s="713"/>
      <c r="J90" s="725"/>
      <c r="K90" s="307"/>
    </row>
    <row r="91" spans="2:12" x14ac:dyDescent="0.3">
      <c r="B91" s="512"/>
      <c r="C91" s="906"/>
      <c r="D91" s="909"/>
      <c r="E91" s="919"/>
      <c r="F91" s="711" t="str">
        <f t="shared" ref="F91:F94" si="3">IF(ISBLANK(G91),"",IF(I91&lt;$I$86,"Spent",IF(F90="SPENT",1,+F90+1)))</f>
        <v/>
      </c>
      <c r="G91" s="714"/>
      <c r="H91" s="713"/>
      <c r="I91" s="713"/>
      <c r="J91" s="725"/>
      <c r="K91" s="307"/>
    </row>
    <row r="92" spans="2:12" x14ac:dyDescent="0.3">
      <c r="B92" s="512"/>
      <c r="C92" s="906"/>
      <c r="D92" s="909"/>
      <c r="E92" s="919"/>
      <c r="F92" s="711" t="str">
        <f t="shared" si="3"/>
        <v/>
      </c>
      <c r="G92" s="714"/>
      <c r="H92" s="713"/>
      <c r="I92" s="713"/>
      <c r="J92" s="725"/>
      <c r="K92" s="307"/>
    </row>
    <row r="93" spans="2:12" ht="32.25" customHeight="1" x14ac:dyDescent="0.3">
      <c r="B93" s="512"/>
      <c r="C93" s="906"/>
      <c r="D93" s="909"/>
      <c r="E93" s="919"/>
      <c r="F93" s="711" t="str">
        <f t="shared" si="3"/>
        <v/>
      </c>
      <c r="G93" s="714"/>
      <c r="H93" s="713"/>
      <c r="I93" s="713"/>
      <c r="J93" s="725"/>
      <c r="K93" s="307"/>
    </row>
    <row r="94" spans="2:12" ht="34.5" customHeight="1" x14ac:dyDescent="0.3">
      <c r="B94" s="513"/>
      <c r="C94" s="907"/>
      <c r="D94" s="910"/>
      <c r="E94" s="920"/>
      <c r="F94" s="711" t="str">
        <f t="shared" si="3"/>
        <v/>
      </c>
      <c r="G94" s="714"/>
      <c r="H94" s="713"/>
      <c r="I94" s="713"/>
      <c r="J94" s="725"/>
      <c r="K94" s="307"/>
    </row>
    <row r="95" spans="2:12" ht="34.5" customHeight="1" x14ac:dyDescent="0.3">
      <c r="B95" s="707"/>
      <c r="C95" s="705"/>
      <c r="D95" s="716"/>
      <c r="E95" s="706"/>
      <c r="F95" s="711"/>
      <c r="G95" s="710" t="s">
        <v>761</v>
      </c>
      <c r="H95" s="710" t="s">
        <v>776</v>
      </c>
      <c r="I95" s="719" t="s">
        <v>785</v>
      </c>
      <c r="J95" s="725"/>
      <c r="K95" s="307"/>
    </row>
    <row r="96" spans="2:12" x14ac:dyDescent="0.3">
      <c r="B96" s="902">
        <v>2</v>
      </c>
      <c r="C96" s="905" t="s">
        <v>661</v>
      </c>
      <c r="D96" s="908">
        <f>COUNT(H96:H101)</f>
        <v>0</v>
      </c>
      <c r="E96" s="924" t="s">
        <v>403</v>
      </c>
      <c r="F96" s="711" t="str">
        <f>IF(ISBLANK(G96),"",IF(I96&lt;$I$86,"Spent",1))</f>
        <v/>
      </c>
      <c r="G96" s="714"/>
      <c r="H96" s="713"/>
      <c r="I96" s="715" t="str">
        <f>IF(ISBLANK(H96),"",+H96+365*3)</f>
        <v/>
      </c>
      <c r="J96" s="725"/>
      <c r="K96" s="709"/>
    </row>
    <row r="97" spans="2:11" x14ac:dyDescent="0.3">
      <c r="B97" s="903"/>
      <c r="C97" s="906"/>
      <c r="D97" s="909"/>
      <c r="E97" s="919"/>
      <c r="F97" s="711" t="str">
        <f>IF(ISBLANK(G97),"",IF(I97&lt;$I$86,"Spent",IF(F96="SPENT",1,+F96+1)))</f>
        <v/>
      </c>
      <c r="G97" s="714"/>
      <c r="H97" s="713"/>
      <c r="I97" s="715" t="str">
        <f>IF(ISBLANK(H97),"",+H97+365*3)</f>
        <v/>
      </c>
      <c r="J97" s="725"/>
      <c r="K97" s="709"/>
    </row>
    <row r="98" spans="2:11" x14ac:dyDescent="0.3">
      <c r="B98" s="903"/>
      <c r="C98" s="906"/>
      <c r="D98" s="909"/>
      <c r="E98" s="919"/>
      <c r="F98" s="711" t="str">
        <f t="shared" ref="F98:F101" si="4">IF(ISBLANK(G98),"",IF(K98&lt;$I$86,"Spent",IF(F97="SPENT",1,+F97+1)))</f>
        <v/>
      </c>
      <c r="G98" s="714"/>
      <c r="H98" s="713"/>
      <c r="I98" s="715" t="str">
        <f>IF(ISBLANK(H98),"",+H98+365*3)</f>
        <v/>
      </c>
      <c r="J98" s="725"/>
      <c r="K98" s="709"/>
    </row>
    <row r="99" spans="2:11" x14ac:dyDescent="0.3">
      <c r="B99" s="903"/>
      <c r="C99" s="906"/>
      <c r="D99" s="909"/>
      <c r="E99" s="919"/>
      <c r="F99" s="711" t="str">
        <f t="shared" si="4"/>
        <v/>
      </c>
      <c r="G99" s="714"/>
      <c r="H99" s="713"/>
      <c r="I99" s="715" t="str">
        <f t="shared" ref="I99:I101" si="5">IF(ISBLANK(H99),"",+H99+365*3)</f>
        <v/>
      </c>
      <c r="J99" s="725"/>
      <c r="K99" s="709"/>
    </row>
    <row r="100" spans="2:11" x14ac:dyDescent="0.3">
      <c r="B100" s="903"/>
      <c r="C100" s="906"/>
      <c r="D100" s="909"/>
      <c r="E100" s="919"/>
      <c r="F100" s="711" t="str">
        <f t="shared" si="4"/>
        <v/>
      </c>
      <c r="G100" s="714"/>
      <c r="H100" s="713"/>
      <c r="I100" s="715" t="str">
        <f t="shared" si="5"/>
        <v/>
      </c>
      <c r="J100" s="725"/>
      <c r="K100" s="709"/>
    </row>
    <row r="101" spans="2:11" x14ac:dyDescent="0.3">
      <c r="B101" s="904"/>
      <c r="C101" s="907"/>
      <c r="D101" s="910"/>
      <c r="E101" s="920"/>
      <c r="F101" s="711" t="str">
        <f t="shared" si="4"/>
        <v/>
      </c>
      <c r="G101" s="714"/>
      <c r="H101" s="713"/>
      <c r="I101" s="715" t="str">
        <f t="shared" si="5"/>
        <v/>
      </c>
      <c r="J101" s="725"/>
      <c r="K101" s="709"/>
    </row>
    <row r="102" spans="2:11" ht="26.4" x14ac:dyDescent="0.3">
      <c r="B102" s="707"/>
      <c r="C102" s="705"/>
      <c r="D102" s="716"/>
      <c r="E102" s="706"/>
      <c r="F102" s="711"/>
      <c r="G102" s="710" t="s">
        <v>761</v>
      </c>
      <c r="H102" s="710" t="s">
        <v>776</v>
      </c>
      <c r="I102" s="719" t="s">
        <v>786</v>
      </c>
      <c r="J102" s="725"/>
      <c r="K102" s="709"/>
    </row>
    <row r="103" spans="2:11" x14ac:dyDescent="0.3">
      <c r="B103" s="902">
        <v>3</v>
      </c>
      <c r="C103" s="905" t="s">
        <v>662</v>
      </c>
      <c r="D103" s="908">
        <f>COUNT(H103:H108)</f>
        <v>0</v>
      </c>
      <c r="E103" s="911" t="s">
        <v>404</v>
      </c>
      <c r="F103" s="711" t="str">
        <f>IF(ISBLANK(G103),"",IF(I103&lt;$I$86,"Spent",1))</f>
        <v/>
      </c>
      <c r="G103" s="714"/>
      <c r="H103" s="713"/>
      <c r="I103" s="715" t="str">
        <f t="shared" ref="I103:I108" si="6">IF(ISBLANK(H103),"",+H103+365*3)</f>
        <v/>
      </c>
      <c r="J103" s="725"/>
      <c r="K103" s="709"/>
    </row>
    <row r="104" spans="2:11" x14ac:dyDescent="0.3">
      <c r="B104" s="903"/>
      <c r="C104" s="906"/>
      <c r="D104" s="909"/>
      <c r="E104" s="912"/>
      <c r="F104" s="711" t="str">
        <f t="shared" ref="F104:F108" si="7">IF(ISBLANK(G104),"",IF(I104&lt;$I$86,"Spent",IF(F102="SPENT",1,1)))</f>
        <v/>
      </c>
      <c r="G104" s="714"/>
      <c r="H104" s="713"/>
      <c r="I104" s="715" t="str">
        <f t="shared" si="6"/>
        <v/>
      </c>
      <c r="J104" s="725"/>
      <c r="K104" s="709"/>
    </row>
    <row r="105" spans="2:11" x14ac:dyDescent="0.3">
      <c r="B105" s="903"/>
      <c r="C105" s="906"/>
      <c r="D105" s="909"/>
      <c r="E105" s="912"/>
      <c r="F105" s="711" t="str">
        <f t="shared" si="7"/>
        <v/>
      </c>
      <c r="G105" s="714"/>
      <c r="H105" s="713"/>
      <c r="I105" s="715" t="str">
        <f t="shared" si="6"/>
        <v/>
      </c>
      <c r="J105" s="725"/>
      <c r="K105" s="709"/>
    </row>
    <row r="106" spans="2:11" x14ac:dyDescent="0.3">
      <c r="B106" s="903"/>
      <c r="C106" s="906"/>
      <c r="D106" s="909"/>
      <c r="E106" s="912"/>
      <c r="F106" s="711" t="str">
        <f t="shared" si="7"/>
        <v/>
      </c>
      <c r="G106" s="714"/>
      <c r="H106" s="713"/>
      <c r="I106" s="715" t="str">
        <f t="shared" si="6"/>
        <v/>
      </c>
      <c r="J106" s="725"/>
      <c r="K106" s="709"/>
    </row>
    <row r="107" spans="2:11" x14ac:dyDescent="0.3">
      <c r="B107" s="903"/>
      <c r="C107" s="906"/>
      <c r="D107" s="909"/>
      <c r="E107" s="912"/>
      <c r="F107" s="711" t="str">
        <f t="shared" si="7"/>
        <v/>
      </c>
      <c r="G107" s="714"/>
      <c r="H107" s="713"/>
      <c r="I107" s="715" t="str">
        <f t="shared" si="6"/>
        <v/>
      </c>
      <c r="J107" s="725"/>
      <c r="K107" s="709"/>
    </row>
    <row r="108" spans="2:11" x14ac:dyDescent="0.3">
      <c r="B108" s="904"/>
      <c r="C108" s="907"/>
      <c r="D108" s="910"/>
      <c r="E108" s="913"/>
      <c r="F108" s="711" t="str">
        <f t="shared" si="7"/>
        <v/>
      </c>
      <c r="G108" s="714"/>
      <c r="H108" s="713"/>
      <c r="I108" s="715" t="str">
        <f t="shared" si="6"/>
        <v/>
      </c>
      <c r="J108" s="725"/>
      <c r="K108" s="709"/>
    </row>
    <row r="109" spans="2:11" ht="39.6" x14ac:dyDescent="0.3">
      <c r="B109" s="707"/>
      <c r="C109" s="705"/>
      <c r="D109" s="717"/>
      <c r="E109" s="708"/>
      <c r="F109" s="711"/>
      <c r="G109" s="718" t="s">
        <v>780</v>
      </c>
      <c r="H109" s="712" t="s">
        <v>781</v>
      </c>
      <c r="I109" s="719" t="s">
        <v>787</v>
      </c>
      <c r="J109" s="725"/>
      <c r="K109" s="709"/>
    </row>
    <row r="110" spans="2:11" x14ac:dyDescent="0.3">
      <c r="B110" s="902">
        <v>4</v>
      </c>
      <c r="C110" s="905" t="s">
        <v>783</v>
      </c>
      <c r="D110" s="908">
        <f>COUNT(I110:I115)</f>
        <v>0</v>
      </c>
      <c r="E110" s="911" t="s">
        <v>405</v>
      </c>
      <c r="F110" s="711" t="str">
        <f>IF(ISBLANK(G110),"",IF(I110&lt;$I$86,"Spent",IF(F108="SPENT",1,1)))</f>
        <v/>
      </c>
      <c r="G110" s="714"/>
      <c r="H110" s="713"/>
      <c r="I110" s="715" t="str">
        <f>IF(ISBLANK(H110),"",+H110+365*5)</f>
        <v/>
      </c>
      <c r="J110" s="725"/>
    </row>
    <row r="111" spans="2:11" x14ac:dyDescent="0.3">
      <c r="B111" s="903"/>
      <c r="C111" s="906"/>
      <c r="D111" s="909"/>
      <c r="E111" s="912"/>
      <c r="F111" s="711" t="str">
        <f>IF(ISBLANK(G111),"",IF(I111&lt;$I$86,"Spent",IF(F110="SPENT",1,+F110+1)))</f>
        <v/>
      </c>
      <c r="G111" s="714"/>
      <c r="H111" s="713"/>
      <c r="I111" s="715" t="str">
        <f t="shared" ref="I111:I115" si="8">IF(ISBLANK(H111),"",+H111+365*5)</f>
        <v/>
      </c>
      <c r="J111" s="725"/>
      <c r="K111" s="709"/>
    </row>
    <row r="112" spans="2:11" x14ac:dyDescent="0.3">
      <c r="B112" s="903"/>
      <c r="C112" s="906"/>
      <c r="D112" s="909"/>
      <c r="E112" s="912"/>
      <c r="F112" s="711" t="str">
        <f t="shared" ref="F112:F115" si="9">IF(ISBLANK(G112),"",IF(K112&lt;$I$86,"Spent",IF(F111="SPENT",1,+F111+1)))</f>
        <v/>
      </c>
      <c r="G112" s="714"/>
      <c r="H112" s="713"/>
      <c r="I112" s="715" t="str">
        <f t="shared" si="8"/>
        <v/>
      </c>
      <c r="J112" s="725"/>
      <c r="K112" s="709"/>
    </row>
    <row r="113" spans="2:11" x14ac:dyDescent="0.3">
      <c r="B113" s="903"/>
      <c r="C113" s="906"/>
      <c r="D113" s="909"/>
      <c r="E113" s="912"/>
      <c r="F113" s="711" t="str">
        <f t="shared" si="9"/>
        <v/>
      </c>
      <c r="G113" s="714"/>
      <c r="H113" s="713"/>
      <c r="I113" s="715" t="str">
        <f t="shared" si="8"/>
        <v/>
      </c>
      <c r="J113" s="604"/>
      <c r="K113" s="709"/>
    </row>
    <row r="114" spans="2:11" ht="18.75" customHeight="1" x14ac:dyDescent="0.3">
      <c r="B114" s="903"/>
      <c r="C114" s="906"/>
      <c r="D114" s="909"/>
      <c r="E114" s="912"/>
      <c r="F114" s="711" t="str">
        <f t="shared" si="9"/>
        <v/>
      </c>
      <c r="G114" s="714"/>
      <c r="H114" s="713"/>
      <c r="I114" s="715" t="str">
        <f t="shared" si="8"/>
        <v/>
      </c>
      <c r="J114" s="604"/>
      <c r="K114" s="709"/>
    </row>
    <row r="115" spans="2:11" ht="53.1" customHeight="1" x14ac:dyDescent="0.3">
      <c r="B115" s="904"/>
      <c r="C115" s="907"/>
      <c r="D115" s="910"/>
      <c r="E115" s="913"/>
      <c r="F115" s="711" t="str">
        <f t="shared" si="9"/>
        <v/>
      </c>
      <c r="G115" s="714"/>
      <c r="H115" s="713"/>
      <c r="I115" s="715" t="str">
        <f t="shared" si="8"/>
        <v/>
      </c>
      <c r="J115" s="604"/>
      <c r="K115" s="709"/>
    </row>
    <row r="116" spans="2:11" x14ac:dyDescent="0.3">
      <c r="B116" s="914"/>
      <c r="C116" s="916"/>
      <c r="D116" s="917">
        <v>0</v>
      </c>
      <c r="E116" s="919"/>
      <c r="F116" s="209"/>
      <c r="G116" s="207"/>
      <c r="H116" s="208"/>
      <c r="I116" s="208"/>
      <c r="J116" s="725"/>
    </row>
    <row r="117" spans="2:11" x14ac:dyDescent="0.3">
      <c r="B117" s="915"/>
      <c r="C117" s="906"/>
      <c r="D117" s="918"/>
      <c r="E117" s="919"/>
      <c r="F117" s="204"/>
      <c r="G117" s="205"/>
      <c r="H117" s="206"/>
      <c r="I117" s="575"/>
      <c r="J117" s="725"/>
    </row>
    <row r="118" spans="2:11" x14ac:dyDescent="0.3">
      <c r="B118" s="915"/>
      <c r="C118" s="906"/>
      <c r="D118" s="918"/>
      <c r="E118" s="919"/>
      <c r="F118" s="204"/>
      <c r="G118" s="205"/>
      <c r="H118" s="206"/>
      <c r="I118" s="575"/>
      <c r="J118" s="725"/>
    </row>
    <row r="119" spans="2:11" x14ac:dyDescent="0.3">
      <c r="B119" s="915"/>
      <c r="C119" s="906"/>
      <c r="D119" s="918"/>
      <c r="E119" s="919"/>
      <c r="F119" s="204"/>
      <c r="G119" s="205"/>
      <c r="H119" s="206"/>
      <c r="I119" s="575"/>
      <c r="J119" s="725"/>
    </row>
    <row r="120" spans="2:11" x14ac:dyDescent="0.3">
      <c r="B120" s="915"/>
      <c r="C120" s="906"/>
      <c r="D120" s="918"/>
      <c r="E120" s="919"/>
      <c r="F120" s="204"/>
      <c r="G120" s="205"/>
      <c r="H120" s="206"/>
      <c r="I120" s="575"/>
      <c r="J120" s="725"/>
    </row>
    <row r="121" spans="2:11" x14ac:dyDescent="0.3">
      <c r="B121" s="915"/>
      <c r="C121" s="906"/>
      <c r="D121" s="515"/>
      <c r="E121" s="920"/>
      <c r="F121" s="204"/>
      <c r="G121" s="210"/>
      <c r="H121" s="211"/>
      <c r="I121" s="576"/>
      <c r="J121" s="725"/>
    </row>
    <row r="122" spans="2:11" x14ac:dyDescent="0.3">
      <c r="B122" s="461"/>
      <c r="C122" s="212"/>
      <c r="D122" s="241"/>
      <c r="E122" s="213"/>
      <c r="F122" s="176"/>
      <c r="G122" s="214"/>
      <c r="H122" s="214"/>
      <c r="I122" s="214"/>
      <c r="J122" s="725"/>
    </row>
    <row r="123" spans="2:11" x14ac:dyDescent="0.3">
      <c r="B123" s="462"/>
      <c r="C123" s="215" t="s">
        <v>406</v>
      </c>
      <c r="D123" s="216"/>
      <c r="E123" s="215"/>
      <c r="F123" s="217"/>
      <c r="G123" s="218"/>
      <c r="H123" s="219"/>
      <c r="I123" s="219"/>
      <c r="J123" s="725"/>
    </row>
    <row r="124" spans="2:11" x14ac:dyDescent="0.3">
      <c r="B124" s="463"/>
      <c r="C124" s="220"/>
      <c r="D124" s="221" t="s">
        <v>407</v>
      </c>
      <c r="E124" s="221" t="s">
        <v>408</v>
      </c>
      <c r="F124" s="222" t="s">
        <v>409</v>
      </c>
      <c r="G124" s="223" t="s">
        <v>307</v>
      </c>
      <c r="H124" s="464"/>
      <c r="I124" s="464"/>
      <c r="J124" s="725"/>
    </row>
    <row r="125" spans="2:11" x14ac:dyDescent="0.3">
      <c r="B125" s="465">
        <v>1</v>
      </c>
      <c r="C125" s="224" t="s">
        <v>410</v>
      </c>
      <c r="D125" s="255">
        <f>COUNT(H89:H94)</f>
        <v>0</v>
      </c>
      <c r="E125" s="255">
        <f>COUNTIF(F89:F94,"SPENT")</f>
        <v>0</v>
      </c>
      <c r="F125" s="256">
        <f t="shared" ref="F125:F128" si="10">+D125-E125</f>
        <v>0</v>
      </c>
      <c r="G125" s="261">
        <f>IF(F125=1,-5,(IF(F125=2,-10,(IF(F125&gt;2,-40,)))))</f>
        <v>0</v>
      </c>
      <c r="H125" s="892"/>
      <c r="I125" s="893"/>
      <c r="J125" s="725"/>
    </row>
    <row r="126" spans="2:11" x14ac:dyDescent="0.3">
      <c r="B126" s="465">
        <v>2</v>
      </c>
      <c r="C126" s="224" t="s">
        <v>411</v>
      </c>
      <c r="D126" s="255">
        <f>COUNT(H96:H101)</f>
        <v>0</v>
      </c>
      <c r="E126" s="255">
        <f>COUNTIF(F96:F101,"SPENT")</f>
        <v>0</v>
      </c>
      <c r="F126" s="256">
        <f t="shared" ref="F126" si="11">+D126-E126</f>
        <v>0</v>
      </c>
      <c r="G126" s="261">
        <f>IF(F126=1,-5,(IF(F126=2,-10,(IF(F126&gt;2,-40,)))))</f>
        <v>0</v>
      </c>
      <c r="H126" s="892"/>
      <c r="I126" s="893"/>
      <c r="J126" s="725"/>
    </row>
    <row r="127" spans="2:11" x14ac:dyDescent="0.3">
      <c r="B127" s="465">
        <v>3</v>
      </c>
      <c r="C127" s="225" t="s">
        <v>412</v>
      </c>
      <c r="D127" s="255">
        <f>COUNT(H103:H108)</f>
        <v>0</v>
      </c>
      <c r="E127" s="255">
        <f>COUNTIF(F103:F108,"SPENT")</f>
        <v>0</v>
      </c>
      <c r="F127" s="256">
        <f t="shared" ref="F127" si="12">+D127-E127</f>
        <v>0</v>
      </c>
      <c r="G127" s="261">
        <f>IF(F127=1,-10,(IF(F127=2,-40,(IF(F127&gt;2,-40,)))))</f>
        <v>0</v>
      </c>
      <c r="H127" s="464"/>
      <c r="I127" s="464"/>
      <c r="J127" s="725"/>
    </row>
    <row r="128" spans="2:11" x14ac:dyDescent="0.3">
      <c r="B128" s="465">
        <v>4</v>
      </c>
      <c r="C128" s="224" t="s">
        <v>413</v>
      </c>
      <c r="D128" s="255">
        <f>+D110</f>
        <v>0</v>
      </c>
      <c r="E128" s="255">
        <f>COUNTIF(F110:F115,"SPENT")</f>
        <v>0</v>
      </c>
      <c r="F128" s="256">
        <f t="shared" si="10"/>
        <v>0</v>
      </c>
      <c r="G128" s="261">
        <f>IF(F128=1,-15,(IF(F128=2,-40,(IF(F128&gt;2,-40,)))))</f>
        <v>0</v>
      </c>
      <c r="H128" s="464"/>
      <c r="I128" s="464"/>
      <c r="J128" s="725"/>
    </row>
    <row r="129" spans="2:10" x14ac:dyDescent="0.3">
      <c r="B129" s="466"/>
      <c r="C129" s="226"/>
      <c r="D129" s="227"/>
      <c r="E129" s="228"/>
      <c r="F129" s="228"/>
      <c r="G129" s="227"/>
      <c r="H129" s="229"/>
      <c r="I129" s="229"/>
      <c r="J129" s="725"/>
    </row>
    <row r="130" spans="2:10" x14ac:dyDescent="0.3">
      <c r="B130" s="467"/>
      <c r="C130" s="257"/>
      <c r="D130" s="258"/>
      <c r="E130" s="259"/>
      <c r="F130" s="259"/>
      <c r="G130" s="263">
        <f>SUM(G125:G128)</f>
        <v>0</v>
      </c>
      <c r="H130" s="260" t="s">
        <v>432</v>
      </c>
      <c r="I130" s="260"/>
      <c r="J130" s="725"/>
    </row>
    <row r="131" spans="2:10" x14ac:dyDescent="0.3">
      <c r="B131" s="468"/>
      <c r="C131" s="230" t="s">
        <v>414</v>
      </c>
      <c r="D131" s="231"/>
      <c r="E131" s="231"/>
      <c r="F131" s="232"/>
      <c r="G131" s="262">
        <f>IF(G130&gt;-40,G130,-40)</f>
        <v>0</v>
      </c>
      <c r="H131" s="230" t="s">
        <v>433</v>
      </c>
      <c r="I131" s="230"/>
      <c r="J131" s="725"/>
    </row>
    <row r="132" spans="2:10" x14ac:dyDescent="0.3">
      <c r="B132" s="469"/>
      <c r="C132" s="470"/>
      <c r="D132" s="471"/>
      <c r="E132" s="472"/>
      <c r="F132" s="470"/>
      <c r="G132" s="470"/>
      <c r="H132" s="470"/>
      <c r="I132" s="470"/>
      <c r="J132" s="725"/>
    </row>
    <row r="133" spans="2:10" x14ac:dyDescent="0.3">
      <c r="B133" s="469"/>
      <c r="C133" s="470"/>
      <c r="D133" s="471"/>
      <c r="E133" s="472"/>
      <c r="F133" s="470"/>
      <c r="G133" s="470"/>
      <c r="H133" s="470"/>
      <c r="I133" s="470"/>
      <c r="J133" s="725"/>
    </row>
    <row r="134" spans="2:10" x14ac:dyDescent="0.3">
      <c r="B134" s="469"/>
      <c r="C134" s="470"/>
      <c r="D134" s="471"/>
      <c r="E134" s="472"/>
      <c r="F134" s="470"/>
      <c r="G134" s="470"/>
      <c r="H134" s="470"/>
      <c r="I134" s="470"/>
      <c r="J134" s="725"/>
    </row>
    <row r="135" spans="2:10" x14ac:dyDescent="0.3">
      <c r="B135" s="469"/>
      <c r="C135" s="470"/>
      <c r="D135" s="471"/>
      <c r="E135" s="472"/>
      <c r="F135" s="470"/>
      <c r="G135" s="470"/>
      <c r="H135" s="470"/>
      <c r="I135" s="470"/>
      <c r="J135" s="725"/>
    </row>
    <row r="136" spans="2:10" x14ac:dyDescent="0.3">
      <c r="B136" s="894"/>
      <c r="C136" s="895"/>
      <c r="D136" s="471"/>
      <c r="E136" s="472"/>
      <c r="F136" s="470"/>
      <c r="G136" s="470"/>
      <c r="H136" s="470"/>
      <c r="I136" s="470"/>
      <c r="J136" s="725"/>
    </row>
    <row r="137" spans="2:10" x14ac:dyDescent="0.3">
      <c r="B137" s="894"/>
      <c r="C137" s="895"/>
      <c r="D137" s="471"/>
      <c r="E137" s="472"/>
      <c r="F137" s="470"/>
      <c r="G137" s="470"/>
      <c r="H137" s="470"/>
      <c r="I137" s="470"/>
      <c r="J137" s="725"/>
    </row>
    <row r="138" spans="2:10" x14ac:dyDescent="0.3">
      <c r="B138" s="469"/>
      <c r="C138" s="470"/>
      <c r="D138" s="471"/>
      <c r="E138" s="472"/>
      <c r="F138" s="470"/>
      <c r="G138" s="470"/>
      <c r="H138" s="470"/>
      <c r="I138" s="470"/>
      <c r="J138" s="725"/>
    </row>
    <row r="139" spans="2:10" x14ac:dyDescent="0.3">
      <c r="B139" s="469"/>
      <c r="C139" s="470"/>
      <c r="D139" s="471"/>
      <c r="E139" s="472"/>
      <c r="F139" s="470"/>
      <c r="G139" s="470"/>
      <c r="H139" s="470"/>
      <c r="I139" s="470"/>
      <c r="J139" s="725"/>
    </row>
    <row r="140" spans="2:10" x14ac:dyDescent="0.3">
      <c r="B140" s="469"/>
      <c r="C140" s="470"/>
      <c r="D140" s="471"/>
      <c r="E140" s="472"/>
      <c r="F140" s="470"/>
      <c r="G140" s="470"/>
      <c r="H140" s="470"/>
      <c r="I140" s="470"/>
      <c r="J140" s="725"/>
    </row>
    <row r="141" spans="2:10" x14ac:dyDescent="0.3">
      <c r="B141" s="469"/>
      <c r="C141" s="470"/>
      <c r="D141" s="471"/>
      <c r="E141" s="472"/>
      <c r="F141" s="470"/>
      <c r="G141" s="470"/>
      <c r="H141" s="470"/>
      <c r="I141" s="470"/>
      <c r="J141" s="725"/>
    </row>
    <row r="142" spans="2:10" x14ac:dyDescent="0.3">
      <c r="B142" s="469"/>
      <c r="C142" s="470"/>
      <c r="D142" s="471"/>
      <c r="E142" s="472"/>
      <c r="F142" s="470"/>
      <c r="G142" s="470"/>
      <c r="H142" s="470"/>
      <c r="I142" s="470"/>
      <c r="J142" s="725"/>
    </row>
    <row r="143" spans="2:10" x14ac:dyDescent="0.3">
      <c r="B143" s="469"/>
      <c r="C143" s="470"/>
      <c r="D143" s="471"/>
      <c r="E143" s="472"/>
      <c r="F143" s="470"/>
      <c r="G143" s="470"/>
      <c r="H143" s="470"/>
      <c r="I143" s="470"/>
      <c r="J143" s="725"/>
    </row>
    <row r="144" spans="2:10" x14ac:dyDescent="0.3">
      <c r="B144" s="469"/>
      <c r="C144" s="470"/>
      <c r="D144" s="471"/>
      <c r="E144" s="472"/>
      <c r="F144" s="470"/>
      <c r="G144" s="470"/>
      <c r="H144" s="470"/>
      <c r="I144" s="470"/>
      <c r="J144" s="725"/>
    </row>
    <row r="145" spans="2:10" x14ac:dyDescent="0.3">
      <c r="B145" s="469"/>
      <c r="C145" s="470"/>
      <c r="D145" s="471"/>
      <c r="E145" s="472"/>
      <c r="F145" s="470"/>
      <c r="G145" s="470"/>
      <c r="H145" s="470"/>
      <c r="I145" s="470"/>
      <c r="J145" s="725"/>
    </row>
    <row r="146" spans="2:10" x14ac:dyDescent="0.3">
      <c r="B146" s="469"/>
      <c r="C146" s="470"/>
      <c r="D146" s="471"/>
      <c r="E146" s="472"/>
      <c r="F146" s="470"/>
      <c r="G146" s="470"/>
      <c r="H146" s="470"/>
      <c r="I146" s="470"/>
      <c r="J146" s="725"/>
    </row>
    <row r="147" spans="2:10" x14ac:dyDescent="0.3">
      <c r="B147" s="469"/>
      <c r="C147" s="470"/>
      <c r="D147" s="471"/>
      <c r="E147" s="472"/>
      <c r="F147" s="470"/>
      <c r="G147" s="470"/>
      <c r="H147" s="470"/>
      <c r="I147" s="470"/>
      <c r="J147" s="725"/>
    </row>
    <row r="148" spans="2:10" x14ac:dyDescent="0.3">
      <c r="B148" s="469"/>
      <c r="C148" s="470"/>
      <c r="D148" s="471"/>
      <c r="E148" s="472"/>
      <c r="F148" s="470"/>
      <c r="G148" s="470"/>
      <c r="H148" s="470"/>
      <c r="I148" s="470"/>
      <c r="J148" s="725"/>
    </row>
    <row r="149" spans="2:10" x14ac:dyDescent="0.3">
      <c r="B149" s="469"/>
      <c r="C149" s="470"/>
      <c r="D149" s="471"/>
      <c r="E149" s="472"/>
      <c r="F149" s="470"/>
      <c r="G149" s="470"/>
      <c r="H149" s="470"/>
      <c r="I149" s="470"/>
      <c r="J149" s="725"/>
    </row>
    <row r="150" spans="2:10" x14ac:dyDescent="0.3">
      <c r="B150" s="469"/>
      <c r="C150" s="470"/>
      <c r="D150" s="471"/>
      <c r="E150" s="472"/>
      <c r="F150" s="470"/>
      <c r="G150" s="470"/>
      <c r="H150" s="470"/>
      <c r="I150" s="470"/>
      <c r="J150" s="725"/>
    </row>
    <row r="151" spans="2:10" x14ac:dyDescent="0.3">
      <c r="B151" s="469"/>
      <c r="C151" s="470"/>
      <c r="D151" s="471"/>
      <c r="E151" s="472"/>
      <c r="F151" s="470"/>
      <c r="G151" s="470"/>
      <c r="H151" s="470"/>
      <c r="I151" s="470"/>
      <c r="J151" s="725"/>
    </row>
    <row r="152" spans="2:10" x14ac:dyDescent="0.3">
      <c r="B152" s="469"/>
      <c r="C152" s="470"/>
      <c r="D152" s="471"/>
      <c r="E152" s="472"/>
      <c r="F152" s="470"/>
      <c r="G152" s="470"/>
      <c r="H152" s="470"/>
      <c r="I152" s="470"/>
      <c r="J152" s="725"/>
    </row>
    <row r="153" spans="2:10" x14ac:dyDescent="0.3">
      <c r="B153" s="469"/>
      <c r="C153" s="470"/>
      <c r="D153" s="471"/>
      <c r="E153" s="472"/>
      <c r="F153" s="470"/>
      <c r="G153" s="470"/>
      <c r="H153" s="470"/>
      <c r="I153" s="470"/>
      <c r="J153" s="725"/>
    </row>
    <row r="154" spans="2:10" ht="32.25" customHeight="1" x14ac:dyDescent="0.3">
      <c r="B154" s="469"/>
      <c r="C154" s="470"/>
      <c r="D154" s="471"/>
      <c r="E154" s="472"/>
      <c r="F154" s="470"/>
      <c r="G154" s="470"/>
      <c r="H154" s="233"/>
      <c r="I154" s="470"/>
      <c r="J154" s="725"/>
    </row>
    <row r="155" spans="2:10" ht="33.75" customHeight="1" x14ac:dyDescent="0.3">
      <c r="B155" s="921" t="s">
        <v>415</v>
      </c>
      <c r="C155" s="922"/>
      <c r="D155" s="922"/>
      <c r="E155" s="922"/>
      <c r="F155" s="923"/>
      <c r="G155" s="264" t="s">
        <v>734</v>
      </c>
      <c r="H155" s="265" t="str">
        <f>IF(I168&gt;8,"A",(IF(I168&gt;6,"B",(IF(I168&gt;4,"C",(IF(I168&gt;2,"D","E")))))))</f>
        <v>E</v>
      </c>
      <c r="I155" s="577"/>
      <c r="J155" s="725"/>
    </row>
    <row r="156" spans="2:10" x14ac:dyDescent="0.3">
      <c r="B156" s="469"/>
      <c r="C156" s="470"/>
      <c r="D156" s="471"/>
      <c r="E156" s="472"/>
      <c r="F156" s="470"/>
      <c r="G156" s="473"/>
      <c r="H156" s="234"/>
      <c r="I156" s="578"/>
      <c r="J156" s="725"/>
    </row>
    <row r="157" spans="2:10" x14ac:dyDescent="0.3">
      <c r="B157" s="474"/>
      <c r="C157" s="896" t="s">
        <v>416</v>
      </c>
      <c r="D157" s="898">
        <f>+Introduction!E10</f>
        <v>0</v>
      </c>
      <c r="E157" s="898"/>
      <c r="F157" s="898"/>
      <c r="G157" s="896" t="s">
        <v>417</v>
      </c>
      <c r="H157" s="900">
        <f>+Introduction!K10</f>
        <v>0</v>
      </c>
      <c r="I157" s="579"/>
      <c r="J157" s="725"/>
    </row>
    <row r="158" spans="2:10" x14ac:dyDescent="0.3">
      <c r="B158" s="475"/>
      <c r="C158" s="897"/>
      <c r="D158" s="899"/>
      <c r="E158" s="899"/>
      <c r="F158" s="899"/>
      <c r="G158" s="897"/>
      <c r="H158" s="901"/>
      <c r="I158" s="579"/>
      <c r="J158" s="725"/>
    </row>
    <row r="159" spans="2:10" x14ac:dyDescent="0.3">
      <c r="B159" s="469"/>
      <c r="C159" s="470"/>
      <c r="D159" s="471"/>
      <c r="E159" s="472"/>
      <c r="F159" s="470"/>
      <c r="G159" s="470"/>
      <c r="H159" s="470"/>
      <c r="I159" s="470"/>
      <c r="J159" s="725"/>
    </row>
    <row r="160" spans="2:10" x14ac:dyDescent="0.3">
      <c r="B160" s="469"/>
      <c r="C160" s="233"/>
      <c r="D160" s="235"/>
      <c r="E160" s="236"/>
      <c r="F160" s="233"/>
      <c r="G160" s="233"/>
      <c r="H160" s="233"/>
      <c r="I160" s="470"/>
      <c r="J160" s="587"/>
    </row>
    <row r="161" spans="2:15" x14ac:dyDescent="0.3">
      <c r="B161" s="469"/>
      <c r="C161" s="237" t="s">
        <v>418</v>
      </c>
      <c r="D161" s="238"/>
      <c r="E161" s="238"/>
      <c r="F161" s="238"/>
      <c r="G161" s="238"/>
      <c r="H161" s="238"/>
      <c r="I161" s="238"/>
      <c r="J161" s="585"/>
    </row>
    <row r="162" spans="2:15" ht="39.6" x14ac:dyDescent="0.3">
      <c r="B162" s="469"/>
      <c r="C162" s="591" t="s">
        <v>419</v>
      </c>
      <c r="D162" s="589" t="s">
        <v>420</v>
      </c>
      <c r="E162" s="591" t="s">
        <v>421</v>
      </c>
      <c r="F162" s="591" t="s">
        <v>657</v>
      </c>
      <c r="G162" s="591" t="s">
        <v>422</v>
      </c>
      <c r="H162" s="589" t="s">
        <v>423</v>
      </c>
      <c r="I162" s="590" t="s">
        <v>424</v>
      </c>
      <c r="J162" s="596" t="s">
        <v>668</v>
      </c>
    </row>
    <row r="163" spans="2:15" x14ac:dyDescent="0.3">
      <c r="B163" s="469"/>
      <c r="C163" s="301" t="s">
        <v>677</v>
      </c>
      <c r="D163" s="239">
        <v>12</v>
      </c>
      <c r="E163" s="277">
        <f>+F19</f>
        <v>0</v>
      </c>
      <c r="F163" s="281">
        <f>+E163/D163*100</f>
        <v>0</v>
      </c>
      <c r="G163" s="278">
        <f>+E163/D163*10</f>
        <v>0</v>
      </c>
      <c r="H163" s="279">
        <v>20</v>
      </c>
      <c r="I163" s="580">
        <f>+G163*H163/100</f>
        <v>0</v>
      </c>
      <c r="J163" s="597" t="str">
        <f>IF(OR(D10=0,D11=0,D12=0,D13=0,D14=0,D15=0,D16=0,D17=0,D18=0),"Incomplete","Complete")</f>
        <v>Incomplete</v>
      </c>
    </row>
    <row r="164" spans="2:15" x14ac:dyDescent="0.3">
      <c r="B164" s="469"/>
      <c r="C164" s="302" t="s">
        <v>425</v>
      </c>
      <c r="D164" s="239">
        <v>17</v>
      </c>
      <c r="E164" s="277">
        <f>+F40</f>
        <v>0</v>
      </c>
      <c r="F164" s="281">
        <f t="shared" ref="F164:F167" si="13">+E164/D164*100</f>
        <v>0</v>
      </c>
      <c r="G164" s="278">
        <f>+E164/D164*10</f>
        <v>0</v>
      </c>
      <c r="H164" s="279">
        <v>20</v>
      </c>
      <c r="I164" s="580">
        <f t="shared" ref="I164:I167" si="14">+G164*H164/100</f>
        <v>0</v>
      </c>
      <c r="J164" s="597" t="str">
        <f>IF(OR(D26=0,D29=0,D30=0,D31=0,D32=0,D33=0,D34=0,D36=0,D37=0,D38=0,D39=0),"Incomplete","Complete")</f>
        <v>Incomplete</v>
      </c>
      <c r="O164" s="583"/>
    </row>
    <row r="165" spans="2:15" x14ac:dyDescent="0.3">
      <c r="B165" s="469"/>
      <c r="C165" s="302" t="s">
        <v>426</v>
      </c>
      <c r="D165" s="239">
        <v>12</v>
      </c>
      <c r="E165" s="280">
        <f>+F59</f>
        <v>0</v>
      </c>
      <c r="F165" s="281">
        <f t="shared" si="13"/>
        <v>0</v>
      </c>
      <c r="G165" s="278">
        <f>+E165/D165*10</f>
        <v>0</v>
      </c>
      <c r="H165" s="279">
        <v>20</v>
      </c>
      <c r="I165" s="580">
        <f t="shared" si="14"/>
        <v>0</v>
      </c>
      <c r="J165" s="597" t="str">
        <f>IF(OR(D51=0,D52=0,D53=0,D54=0,D55=0,D56=0,D57=0,D58=0),"Incomplete","Complete")</f>
        <v>Incomplete</v>
      </c>
      <c r="K165" s="592" t="s">
        <v>672</v>
      </c>
      <c r="L165" s="592"/>
      <c r="M165" s="588"/>
    </row>
    <row r="166" spans="2:15" ht="41.25" customHeight="1" x14ac:dyDescent="0.3">
      <c r="B166" s="469"/>
      <c r="C166" s="303" t="s">
        <v>427</v>
      </c>
      <c r="D166" s="286">
        <v>20</v>
      </c>
      <c r="E166" s="287">
        <f>+F85</f>
        <v>0</v>
      </c>
      <c r="F166" s="288">
        <f t="shared" si="13"/>
        <v>0</v>
      </c>
      <c r="G166" s="289">
        <f>+E166/D166*10</f>
        <v>0</v>
      </c>
      <c r="H166" s="289">
        <v>40</v>
      </c>
      <c r="I166" s="581">
        <f t="shared" si="14"/>
        <v>0</v>
      </c>
      <c r="J166" s="598" t="str">
        <f>IF(AND(J68="complete",J69="complete",J80="complete",J74="complete",J75="complete",J76="complete",J78="complete",J79="complete",J80="complete",J81="complete",J82="complete",J83="complete",J84="complete",J86="complete",J87="complete"),"complete","Incomplete")</f>
        <v>Incomplete</v>
      </c>
      <c r="K166" s="593" t="str">
        <f>IF(OR(J65="complete",J66="complete",J67="complete"),"complete","Incomplete")</f>
        <v>Incomplete</v>
      </c>
      <c r="L166" s="593" t="str">
        <f>IF(OR(D71=0,D72=0,D73=0,D75=0,D76=0,D77=0,D78=0,D79=0,D80=0,D81=0,D83=0,D84=""),"Incomplete","Complete")</f>
        <v>Incomplete</v>
      </c>
      <c r="M166" s="588"/>
    </row>
    <row r="167" spans="2:15" x14ac:dyDescent="0.3">
      <c r="B167" s="469"/>
      <c r="C167" s="225" t="s">
        <v>428</v>
      </c>
      <c r="D167" s="239">
        <v>-40</v>
      </c>
      <c r="E167" s="277">
        <f>+G130</f>
        <v>0</v>
      </c>
      <c r="F167" s="281">
        <f t="shared" si="13"/>
        <v>0</v>
      </c>
      <c r="G167" s="278">
        <f>+E167/D167*10</f>
        <v>0</v>
      </c>
      <c r="H167" s="279">
        <v>40</v>
      </c>
      <c r="I167" s="580">
        <f t="shared" si="14"/>
        <v>0</v>
      </c>
      <c r="J167" s="599"/>
    </row>
    <row r="168" spans="2:15" x14ac:dyDescent="0.3">
      <c r="B168" s="469"/>
      <c r="C168" s="240" t="s">
        <v>429</v>
      </c>
      <c r="D168" s="241"/>
      <c r="E168" s="241"/>
      <c r="F168" s="241"/>
      <c r="G168" s="241"/>
      <c r="H168" s="242"/>
      <c r="I168" s="582">
        <f>SUM(I163:I167)</f>
        <v>0</v>
      </c>
      <c r="J168" s="600"/>
    </row>
    <row r="169" spans="2:15" x14ac:dyDescent="0.3">
      <c r="B169" s="469"/>
      <c r="C169" s="464"/>
      <c r="D169" s="476"/>
      <c r="E169" s="477"/>
      <c r="F169" s="477"/>
      <c r="G169" s="477"/>
      <c r="H169" s="477"/>
      <c r="I169" s="477"/>
      <c r="J169" s="400"/>
    </row>
    <row r="170" spans="2:15" x14ac:dyDescent="0.3">
      <c r="B170" s="423"/>
      <c r="C170" s="424"/>
      <c r="D170" s="424"/>
      <c r="E170" s="424"/>
      <c r="F170" s="424"/>
      <c r="G170" s="424"/>
      <c r="H170" s="424"/>
      <c r="I170" s="424"/>
      <c r="J170" s="400"/>
    </row>
    <row r="171" spans="2:15" ht="15" thickBot="1" x14ac:dyDescent="0.35">
      <c r="B171" s="478"/>
      <c r="C171" s="243"/>
      <c r="D171" s="243"/>
      <c r="E171" s="243"/>
      <c r="F171" s="243"/>
      <c r="G171" s="243"/>
      <c r="H171" s="243"/>
      <c r="I171" s="243"/>
      <c r="J171" s="586"/>
    </row>
  </sheetData>
  <sheetProtection algorithmName="SHA-512" hashValue="xbWTTSx4S4Ughbj+GIWoJWfDCduDP1LKkYemSu3ssvZBjcjymJDnn63Yoqhs7qToxoTfd3ZvUaYvYdylPcQrkA==" saltValue="9zad5SK7+t7Av7pLB9sFGQ==" spinCount="100000" sheet="1" objects="1" scenarios="1"/>
  <mergeCells count="109">
    <mergeCell ref="G36:H36"/>
    <mergeCell ref="G37:H37"/>
    <mergeCell ref="G38:H38"/>
    <mergeCell ref="G39:H39"/>
    <mergeCell ref="C47:H47"/>
    <mergeCell ref="C48:H48"/>
    <mergeCell ref="G12:H12"/>
    <mergeCell ref="G13:H13"/>
    <mergeCell ref="G14:H14"/>
    <mergeCell ref="G15:H15"/>
    <mergeCell ref="G16:H16"/>
    <mergeCell ref="G17:H17"/>
    <mergeCell ref="G34:H34"/>
    <mergeCell ref="G35:H35"/>
    <mergeCell ref="G28:H28"/>
    <mergeCell ref="G29:H29"/>
    <mergeCell ref="G30:H30"/>
    <mergeCell ref="G31:H31"/>
    <mergeCell ref="G32:H32"/>
    <mergeCell ref="G33:H33"/>
    <mergeCell ref="G6:H6"/>
    <mergeCell ref="B8:H8"/>
    <mergeCell ref="C9:H9"/>
    <mergeCell ref="G10:H10"/>
    <mergeCell ref="G11:H11"/>
    <mergeCell ref="I26:I27"/>
    <mergeCell ref="G18:H18"/>
    <mergeCell ref="G19:H19"/>
    <mergeCell ref="B21:H21"/>
    <mergeCell ref="C22:H22"/>
    <mergeCell ref="C23:H23"/>
    <mergeCell ref="C24:H24"/>
    <mergeCell ref="C25:H25"/>
    <mergeCell ref="D26:D27"/>
    <mergeCell ref="E26:E27"/>
    <mergeCell ref="F26:F27"/>
    <mergeCell ref="G26:H27"/>
    <mergeCell ref="C49:H49"/>
    <mergeCell ref="C50:H50"/>
    <mergeCell ref="G40:H40"/>
    <mergeCell ref="B42:H42"/>
    <mergeCell ref="C43:H43"/>
    <mergeCell ref="C44:H44"/>
    <mergeCell ref="C45:H45"/>
    <mergeCell ref="C46:H46"/>
    <mergeCell ref="B61:H61"/>
    <mergeCell ref="G52:H52"/>
    <mergeCell ref="G51:H51"/>
    <mergeCell ref="C63:H63"/>
    <mergeCell ref="C64:H64"/>
    <mergeCell ref="G65:H65"/>
    <mergeCell ref="G66:H66"/>
    <mergeCell ref="G67:H67"/>
    <mergeCell ref="G53:H53"/>
    <mergeCell ref="G54:H54"/>
    <mergeCell ref="G55:H55"/>
    <mergeCell ref="G56:H56"/>
    <mergeCell ref="G57:H57"/>
    <mergeCell ref="G58:H58"/>
    <mergeCell ref="G59:H59"/>
    <mergeCell ref="C62:H62"/>
    <mergeCell ref="C74:H74"/>
    <mergeCell ref="G75:H75"/>
    <mergeCell ref="G76:H76"/>
    <mergeCell ref="G77:H77"/>
    <mergeCell ref="G78:H78"/>
    <mergeCell ref="G79:H79"/>
    <mergeCell ref="G68:H68"/>
    <mergeCell ref="C69:I69"/>
    <mergeCell ref="C70:I70"/>
    <mergeCell ref="G71:H71"/>
    <mergeCell ref="G72:H72"/>
    <mergeCell ref="G73:H73"/>
    <mergeCell ref="G81:H81"/>
    <mergeCell ref="G83:H83"/>
    <mergeCell ref="G84:H84"/>
    <mergeCell ref="B87:D87"/>
    <mergeCell ref="C89:C94"/>
    <mergeCell ref="D89:D94"/>
    <mergeCell ref="E89:E94"/>
    <mergeCell ref="G85:H85"/>
    <mergeCell ref="B96:B101"/>
    <mergeCell ref="C96:C101"/>
    <mergeCell ref="D96:D101"/>
    <mergeCell ref="C82:F82"/>
    <mergeCell ref="B4:J4"/>
    <mergeCell ref="D1:F1"/>
    <mergeCell ref="D2:F2"/>
    <mergeCell ref="H125:I126"/>
    <mergeCell ref="B136:C137"/>
    <mergeCell ref="C157:C158"/>
    <mergeCell ref="D157:F158"/>
    <mergeCell ref="G157:G158"/>
    <mergeCell ref="H157:H158"/>
    <mergeCell ref="B110:B115"/>
    <mergeCell ref="C110:C115"/>
    <mergeCell ref="D110:D115"/>
    <mergeCell ref="E110:E115"/>
    <mergeCell ref="B116:B121"/>
    <mergeCell ref="C116:C121"/>
    <mergeCell ref="D116:D120"/>
    <mergeCell ref="E116:E121"/>
    <mergeCell ref="B155:F155"/>
    <mergeCell ref="E96:E101"/>
    <mergeCell ref="B103:B108"/>
    <mergeCell ref="C103:C108"/>
    <mergeCell ref="D103:D108"/>
    <mergeCell ref="E103:E108"/>
    <mergeCell ref="G80:H80"/>
  </mergeCells>
  <conditionalFormatting sqref="K65:K67">
    <cfRule type="beginsWith" dxfId="55" priority="77" operator="beginsWith" text="enter">
      <formula>LEFT(K65,LEN("enter"))="enter"</formula>
    </cfRule>
  </conditionalFormatting>
  <conditionalFormatting sqref="J163:J165 J167">
    <cfRule type="containsText" dxfId="54" priority="49" operator="containsText" text="incomplete">
      <formula>NOT(ISERROR(SEARCH("incomplete",J163)))</formula>
    </cfRule>
    <cfRule type="containsText" dxfId="53" priority="50" operator="containsText" text="complete">
      <formula>NOT(ISERROR(SEARCH("complete",J163)))</formula>
    </cfRule>
    <cfRule type="cellIs" dxfId="52" priority="75" operator="equal">
      <formula>"Complete"</formula>
    </cfRule>
    <cfRule type="cellIs" dxfId="51" priority="76" operator="equal">
      <formula>"Incomplete"</formula>
    </cfRule>
  </conditionalFormatting>
  <conditionalFormatting sqref="D10:D18">
    <cfRule type="cellIs" dxfId="50" priority="71" operator="equal">
      <formula>"No"</formula>
    </cfRule>
    <cfRule type="cellIs" dxfId="49" priority="72" operator="equal">
      <formula>"Yes"</formula>
    </cfRule>
  </conditionalFormatting>
  <conditionalFormatting sqref="D26:D39">
    <cfRule type="cellIs" dxfId="48" priority="69" operator="equal">
      <formula>"No"</formula>
    </cfRule>
    <cfRule type="cellIs" dxfId="47" priority="70" operator="equal">
      <formula>"Yes"</formula>
    </cfRule>
  </conditionalFormatting>
  <conditionalFormatting sqref="D51:D58">
    <cfRule type="cellIs" dxfId="46" priority="67" operator="equal">
      <formula>"No"</formula>
    </cfRule>
    <cfRule type="cellIs" dxfId="45" priority="68" operator="equal">
      <formula>"Yes"</formula>
    </cfRule>
  </conditionalFormatting>
  <conditionalFormatting sqref="D65:D67">
    <cfRule type="cellIs" dxfId="44" priority="65" operator="equal">
      <formula>"No"</formula>
    </cfRule>
    <cfRule type="cellIs" dxfId="43" priority="66" operator="equal">
      <formula>"Yes"</formula>
    </cfRule>
  </conditionalFormatting>
  <conditionalFormatting sqref="D71:D73">
    <cfRule type="cellIs" dxfId="42" priority="62" operator="equal">
      <formula>"Yes"</formula>
    </cfRule>
    <cfRule type="cellIs" dxfId="41" priority="63" operator="equal">
      <formula>"No"</formula>
    </cfRule>
  </conditionalFormatting>
  <conditionalFormatting sqref="D75:D81">
    <cfRule type="cellIs" dxfId="40" priority="60" operator="equal">
      <formula>"No"</formula>
    </cfRule>
    <cfRule type="cellIs" dxfId="39" priority="61" operator="equal">
      <formula>"Yes"</formula>
    </cfRule>
  </conditionalFormatting>
  <conditionalFormatting sqref="D83">
    <cfRule type="containsText" dxfId="38" priority="42" operator="containsText" text="N/A">
      <formula>NOT(ISERROR(SEARCH("N/A",D83)))</formula>
    </cfRule>
    <cfRule type="cellIs" dxfId="37" priority="58" operator="equal">
      <formula>"No"</formula>
    </cfRule>
    <cfRule type="cellIs" dxfId="36" priority="59" operator="equal">
      <formula>"Yes"</formula>
    </cfRule>
  </conditionalFormatting>
  <conditionalFormatting sqref="K83">
    <cfRule type="beginsWith" dxfId="35" priority="57" operator="beginsWith" text="Provide">
      <formula>LEFT(K83,LEN("Provide"))="Provide"</formula>
    </cfRule>
  </conditionalFormatting>
  <conditionalFormatting sqref="D38">
    <cfRule type="containsText" dxfId="34" priority="56" operator="containsText" text="N/A">
      <formula>NOT(ISERROR(SEARCH("N/A",D38)))</formula>
    </cfRule>
  </conditionalFormatting>
  <conditionalFormatting sqref="D84">
    <cfRule type="cellIs" dxfId="33" priority="55" operator="greaterThanOrEqual">
      <formula>1</formula>
    </cfRule>
  </conditionalFormatting>
  <conditionalFormatting sqref="J65:J67">
    <cfRule type="containsText" dxfId="32" priority="35" operator="containsText" text="incomplete">
      <formula>NOT(ISERROR(SEARCH("incomplete",J65)))</formula>
    </cfRule>
    <cfRule type="containsText" dxfId="31" priority="36" operator="containsText" text="complete">
      <formula>NOT(ISERROR(SEARCH("complete",J65)))</formula>
    </cfRule>
  </conditionalFormatting>
  <conditionalFormatting sqref="J83:J84">
    <cfRule type="containsText" dxfId="30" priority="33" operator="containsText" text="incomplete">
      <formula>NOT(ISERROR(SEARCH("incomplete",J83)))</formula>
    </cfRule>
    <cfRule type="containsText" dxfId="29" priority="34" operator="containsText" text="complete">
      <formula>NOT(ISERROR(SEARCH("complete",J83)))</formula>
    </cfRule>
  </conditionalFormatting>
  <conditionalFormatting sqref="J71">
    <cfRule type="containsText" dxfId="28" priority="31" operator="containsText" text="incomplete">
      <formula>NOT(ISERROR(SEARCH("incomplete",J71)))</formula>
    </cfRule>
    <cfRule type="containsText" dxfId="27" priority="32" operator="containsText" text="complete">
      <formula>NOT(ISERROR(SEARCH("complete",J71)))</formula>
    </cfRule>
  </conditionalFormatting>
  <conditionalFormatting sqref="J72">
    <cfRule type="containsText" dxfId="26" priority="29" operator="containsText" text="incomplete">
      <formula>NOT(ISERROR(SEARCH("incomplete",J72)))</formula>
    </cfRule>
    <cfRule type="containsText" dxfId="25" priority="30" operator="containsText" text="complete">
      <formula>NOT(ISERROR(SEARCH("complete",J72)))</formula>
    </cfRule>
  </conditionalFormatting>
  <conditionalFormatting sqref="J73">
    <cfRule type="containsText" dxfId="24" priority="27" operator="containsText" text="incomplete">
      <formula>NOT(ISERROR(SEARCH("incomplete",J73)))</formula>
    </cfRule>
    <cfRule type="containsText" dxfId="23" priority="28" operator="containsText" text="complete">
      <formula>NOT(ISERROR(SEARCH("complete",J73)))</formula>
    </cfRule>
  </conditionalFormatting>
  <conditionalFormatting sqref="J75">
    <cfRule type="containsText" dxfId="22" priority="25" operator="containsText" text="incomplete">
      <formula>NOT(ISERROR(SEARCH("incomplete",J75)))</formula>
    </cfRule>
    <cfRule type="containsText" dxfId="21" priority="26" operator="containsText" text="complete">
      <formula>NOT(ISERROR(SEARCH("complete",J75)))</formula>
    </cfRule>
  </conditionalFormatting>
  <conditionalFormatting sqref="J76">
    <cfRule type="containsText" dxfId="20" priority="23" operator="containsText" text="incomplete">
      <formula>NOT(ISERROR(SEARCH("incomplete",J76)))</formula>
    </cfRule>
    <cfRule type="containsText" dxfId="19" priority="24" operator="containsText" text="complete">
      <formula>NOT(ISERROR(SEARCH("complete",J76)))</formula>
    </cfRule>
  </conditionalFormatting>
  <conditionalFormatting sqref="J77">
    <cfRule type="containsText" dxfId="18" priority="21" operator="containsText" text="incomplete">
      <formula>NOT(ISERROR(SEARCH("incomplete",J77)))</formula>
    </cfRule>
    <cfRule type="containsText" dxfId="17" priority="22" operator="containsText" text="complete">
      <formula>NOT(ISERROR(SEARCH("complete",J77)))</formula>
    </cfRule>
  </conditionalFormatting>
  <conditionalFormatting sqref="J78">
    <cfRule type="containsText" dxfId="16" priority="19" operator="containsText" text="incomplete">
      <formula>NOT(ISERROR(SEARCH("incomplete",J78)))</formula>
    </cfRule>
    <cfRule type="containsText" dxfId="15" priority="20" operator="containsText" text="complete">
      <formula>NOT(ISERROR(SEARCH("complete",J78)))</formula>
    </cfRule>
  </conditionalFormatting>
  <conditionalFormatting sqref="J79">
    <cfRule type="containsText" dxfId="14" priority="17" operator="containsText" text="incomplete">
      <formula>NOT(ISERROR(SEARCH("incomplete",J79)))</formula>
    </cfRule>
    <cfRule type="containsText" dxfId="13" priority="18" operator="containsText" text="complete">
      <formula>NOT(ISERROR(SEARCH("complete",J79)))</formula>
    </cfRule>
  </conditionalFormatting>
  <conditionalFormatting sqref="J80">
    <cfRule type="containsText" dxfId="12" priority="15" operator="containsText" text="incomplete">
      <formula>NOT(ISERROR(SEARCH("incomplete",J80)))</formula>
    </cfRule>
    <cfRule type="containsText" dxfId="11" priority="16" operator="containsText" text="complete">
      <formula>NOT(ISERROR(SEARCH("complete",J80)))</formula>
    </cfRule>
  </conditionalFormatting>
  <conditionalFormatting sqref="J81">
    <cfRule type="containsText" dxfId="10" priority="13" operator="containsText" text="incomplete">
      <formula>NOT(ISERROR(SEARCH("incomplete",J81)))</formula>
    </cfRule>
    <cfRule type="containsText" dxfId="9" priority="14" operator="containsText" text="complete">
      <formula>NOT(ISERROR(SEARCH("complete",J81)))</formula>
    </cfRule>
  </conditionalFormatting>
  <conditionalFormatting sqref="J166">
    <cfRule type="containsText" dxfId="8" priority="1" operator="containsText" text="incomplete">
      <formula>NOT(ISERROR(SEARCH("incomplete",J166)))</formula>
    </cfRule>
    <cfRule type="containsText" dxfId="7" priority="2" operator="containsText" text="complete">
      <formula>NOT(ISERROR(SEARCH("complete",J166)))</formula>
    </cfRule>
    <cfRule type="cellIs" dxfId="6" priority="3" operator="equal">
      <formula>"Complete"</formula>
    </cfRule>
    <cfRule type="cellIs" dxfId="5" priority="4" operator="equal">
      <formula>"Incomplete"</formula>
    </cfRule>
  </conditionalFormatting>
  <dataValidations xWindow="478" yWindow="518" count="5">
    <dataValidation type="textLength" allowBlank="1" showInputMessage="1" showErrorMessage="1" errorTitle="Document Reference" error="The text you have entered is too long. Please restrict details to a maximum of 100 characters" promptTitle="Document Reference" prompt="Text is restricted to 100 characters" sqref="I75:I84 I26:I27 I29:I39 I51:I58 I10:I18 I71:I73 I65:I67" xr:uid="{B8CC8737-A26E-4557-BD67-26D0DF47FFE9}">
      <formula1>0</formula1>
      <formula2>100</formula2>
    </dataValidation>
    <dataValidation type="textLength" allowBlank="1" showInputMessage="1" showErrorMessage="1" errorTitle="Post or Group Responsible" error="The text you have entered is too long. Please restrict details to a maximum of 100 characters" promptTitle="Post or Group Responsible" prompt="text is restricted to 100 characters" sqref="G10:H18 G26:H27 G29:H39 G51:H58 G65:H67 G71:H73 G75:H84" xr:uid="{B50279EF-EA0C-4F88-B76D-79DB32CC617D}">
      <formula1>0</formula1>
      <formula2>100</formula2>
    </dataValidation>
    <dataValidation allowBlank="1" showInputMessage="1" error="Enter Y or N" prompt="Enter Y or N" sqref="D28" xr:uid="{E3BEABE9-E5CE-4D54-BB58-5C71C3000806}"/>
    <dataValidation type="list" allowBlank="1" showInputMessage="1" showErrorMessage="1" error="Enter Yes or No_x000a_" prompt="Enter Yes or No" sqref="D53" xr:uid="{562A30FE-6812-4BA5-ABC3-4F76F49A7D01}">
      <formula1>INDIRECT(D52)</formula1>
    </dataValidation>
    <dataValidation type="list" allowBlank="1" showInputMessage="1" showErrorMessage="1" error="Enter Yes or No_x000a_" prompt="Enter Yes or No" sqref="D52" xr:uid="{C90B02C1-000F-4F1E-890C-9646B0AF4FD9}">
      <formula1>Operator</formula1>
    </dataValidation>
  </dataValidations>
  <pageMargins left="0.7" right="0.7" top="0.75" bottom="0.75" header="0.3" footer="0.3"/>
  <pageSetup paperSize="9" orientation="portrait" verticalDpi="203" r:id="rId1"/>
  <drawing r:id="rId2"/>
  <extLst>
    <ext xmlns:x14="http://schemas.microsoft.com/office/spreadsheetml/2009/9/main" uri="{CCE6A557-97BC-4b89-ADB6-D9C93CAAB3DF}">
      <x14:dataValidations xmlns:xm="http://schemas.microsoft.com/office/excel/2006/main" xWindow="478" yWindow="518" count="9">
        <x14:dataValidation type="list" allowBlank="1" showInputMessage="1" showErrorMessage="1" error="Enter Y or N" prompt="Enter Y or N" xr:uid="{83816CAB-EDD5-48E3-9591-3B818165D6B1}">
          <x14:formula1>
            <xm:f>Picklists!$Y$2:$Y$3</xm:f>
          </x14:formula1>
          <xm:sqref>D26:D27 D29:D37</xm:sqref>
        </x14:dataValidation>
        <x14:dataValidation type="list" allowBlank="1" showInputMessage="1" showErrorMessage="1" errorTitle="Enter number of failures" error="Enter a whole number, e.g. 0, 1, 2 etc." promptTitle="Please enter:-" prompt="The number of failures&gt;" xr:uid="{28755617-99AF-4125-B8B1-A35255C9B596}">
          <x14:formula1>
            <xm:f>Picklists!$AA$4:$AA$10</xm:f>
          </x14:formula1>
          <xm:sqref>D84</xm:sqref>
        </x14:dataValidation>
        <x14:dataValidation type="list" allowBlank="1" showInputMessage="1" showErrorMessage="1" error="Enter Yes or No_x000a_" prompt="Enter Yes or No" xr:uid="{5CB8A539-684D-4A9F-88E5-FC7265A41BBF}">
          <x14:formula1>
            <xm:f>Picklists!$Y$2:$Y$3</xm:f>
          </x14:formula1>
          <xm:sqref>D51 D10:D18 D39 D75:D81 D65:D67 D71:D73 D54:D58</xm:sqref>
        </x14:dataValidation>
        <x14:dataValidation type="list" allowBlank="1" showInputMessage="1" showErrorMessage="1" error="Enter Y or N" prompt="Enter Y or N" xr:uid="{1596AEA1-D92D-4F05-9A1B-74389849DEEB}">
          <x14:formula1>
            <xm:f>Picklists!$Y$5:$Y$7</xm:f>
          </x14:formula1>
          <xm:sqref>D38</xm:sqref>
        </x14:dataValidation>
        <x14:dataValidation type="list" allowBlank="1" showInputMessage="1" showErrorMessage="1" error="Enter Yes or No_x000a_" prompt="Enter Yes or No" xr:uid="{F1581BD7-C552-4609-A727-A344027007B5}">
          <x14:formula1>
            <xm:f>Picklists!$Y$5:$Y$7</xm:f>
          </x14:formula1>
          <xm:sqref>D83</xm:sqref>
        </x14:dataValidation>
        <x14:dataValidation type="list" allowBlank="1" showInputMessage="1" showErrorMessage="1" xr:uid="{33A35528-BA0A-4842-9F8F-82BD90FDD542}">
          <x14:formula1>
            <xm:f>Picklists!$W$12:$W$17</xm:f>
          </x14:formula1>
          <xm:sqref>G89:G94</xm:sqref>
        </x14:dataValidation>
        <x14:dataValidation type="list" allowBlank="1" showInputMessage="1" showErrorMessage="1" xr:uid="{B978B23A-0BE1-46D8-B69C-B1A788761A3B}">
          <x14:formula1>
            <xm:f>Picklists!$X$12:$X$14</xm:f>
          </x14:formula1>
          <xm:sqref>G96:G101</xm:sqref>
        </x14:dataValidation>
        <x14:dataValidation type="list" allowBlank="1" showInputMessage="1" showErrorMessage="1" xr:uid="{F42F3056-505A-4BC3-AFEC-4E7E9C9EDCAA}">
          <x14:formula1>
            <xm:f>Picklists!$AA$12:$AA$13</xm:f>
          </x14:formula1>
          <xm:sqref>G110:G115</xm:sqref>
        </x14:dataValidation>
        <x14:dataValidation type="list" allowBlank="1" showInputMessage="1" showErrorMessage="1" xr:uid="{39DF56B3-CE94-4BAA-AA77-C158D9CE65CB}">
          <x14:formula1>
            <xm:f>Picklists!$Z$12:$Z$15</xm:f>
          </x14:formula1>
          <xm:sqref>G103:G108</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5C065-8254-4210-8074-C28F119DB568}">
  <dimension ref="B1:H19"/>
  <sheetViews>
    <sheetView workbookViewId="0">
      <selection activeCell="B4" sqref="B4"/>
    </sheetView>
  </sheetViews>
  <sheetFormatPr defaultColWidth="9.21875" defaultRowHeight="14.4" x14ac:dyDescent="0.3"/>
  <cols>
    <col min="1" max="1" width="9.21875" style="329"/>
    <col min="2" max="2" width="14.77734375" style="329" customWidth="1"/>
    <col min="3" max="3" width="22.21875" style="329" customWidth="1"/>
    <col min="4" max="4" width="10.21875" style="329" customWidth="1"/>
    <col min="5" max="5" width="10.5546875" style="329" customWidth="1"/>
    <col min="6" max="7" width="10.77734375" style="329" customWidth="1"/>
    <col min="8" max="8" width="12.21875" style="329" customWidth="1"/>
    <col min="9" max="16384" width="9.21875" style="329"/>
  </cols>
  <sheetData>
    <row r="1" spans="2:8" ht="15" thickBot="1" x14ac:dyDescent="0.35"/>
    <row r="2" spans="2:8" x14ac:dyDescent="0.3">
      <c r="B2" s="601" t="s">
        <v>47</v>
      </c>
      <c r="C2" s="602"/>
      <c r="D2" s="1011">
        <f>+Introduction!E10</f>
        <v>0</v>
      </c>
      <c r="E2" s="1011"/>
      <c r="F2" s="1011"/>
      <c r="G2" s="1011"/>
      <c r="H2" s="603"/>
    </row>
    <row r="3" spans="2:8" x14ac:dyDescent="0.3">
      <c r="B3" s="1012" t="s">
        <v>795</v>
      </c>
      <c r="C3" s="1013"/>
      <c r="D3" s="881">
        <f>+Introduction!K10</f>
        <v>0</v>
      </c>
      <c r="E3" s="881"/>
      <c r="F3" s="881"/>
      <c r="G3" s="881"/>
      <c r="H3" s="604"/>
    </row>
    <row r="4" spans="2:8" x14ac:dyDescent="0.3">
      <c r="B4" s="605"/>
      <c r="C4" s="606"/>
      <c r="D4" s="606"/>
      <c r="E4" s="606"/>
      <c r="F4" s="550"/>
      <c r="G4" s="550"/>
      <c r="H4" s="604"/>
    </row>
    <row r="5" spans="2:8" ht="63" customHeight="1" x14ac:dyDescent="0.3">
      <c r="B5" s="607"/>
      <c r="C5" s="372"/>
      <c r="D5" s="992" t="s">
        <v>434</v>
      </c>
      <c r="E5" s="993"/>
      <c r="F5" s="1007" t="s">
        <v>640</v>
      </c>
      <c r="G5" s="1008"/>
      <c r="H5" s="604"/>
    </row>
    <row r="6" spans="2:8" x14ac:dyDescent="0.3">
      <c r="B6" s="1009" t="s">
        <v>435</v>
      </c>
      <c r="C6" s="1010"/>
      <c r="D6" s="373" t="s">
        <v>436</v>
      </c>
      <c r="E6" s="373" t="s">
        <v>302</v>
      </c>
      <c r="F6" s="374" t="s">
        <v>436</v>
      </c>
      <c r="G6" s="374" t="s">
        <v>302</v>
      </c>
      <c r="H6" s="613" t="s">
        <v>667</v>
      </c>
    </row>
    <row r="7" spans="2:8" x14ac:dyDescent="0.3">
      <c r="B7" s="990" t="s">
        <v>51</v>
      </c>
      <c r="C7" s="991"/>
      <c r="D7" s="375">
        <f>+'1 Listed activity'!K8</f>
        <v>0</v>
      </c>
      <c r="E7" s="376" t="s">
        <v>31</v>
      </c>
      <c r="F7" s="375">
        <f>+'3 Complexities'!E52</f>
        <v>0</v>
      </c>
      <c r="G7" s="374" t="s">
        <v>31</v>
      </c>
      <c r="H7" s="604"/>
    </row>
    <row r="8" spans="2:8" x14ac:dyDescent="0.3">
      <c r="B8" s="999"/>
      <c r="C8" s="1000"/>
      <c r="D8" s="375">
        <f>+'1 Listed activity'!K9</f>
        <v>0</v>
      </c>
      <c r="E8" s="376" t="s">
        <v>32</v>
      </c>
      <c r="F8" s="375">
        <f>+'3 Complexities'!E53</f>
        <v>0</v>
      </c>
      <c r="G8" s="374" t="s">
        <v>32</v>
      </c>
      <c r="H8" s="604"/>
    </row>
    <row r="9" spans="2:8" x14ac:dyDescent="0.3">
      <c r="B9" s="999"/>
      <c r="C9" s="1000"/>
      <c r="D9" s="375">
        <f>+'1 Listed activity'!K10</f>
        <v>0</v>
      </c>
      <c r="E9" s="376" t="s">
        <v>30</v>
      </c>
      <c r="F9" s="375">
        <f>+'3 Complexities'!E54</f>
        <v>0</v>
      </c>
      <c r="G9" s="374" t="s">
        <v>30</v>
      </c>
      <c r="H9" s="604"/>
    </row>
    <row r="10" spans="2:8" x14ac:dyDescent="0.3">
      <c r="B10" s="999"/>
      <c r="C10" s="1000"/>
      <c r="D10" s="375">
        <f>+'1 Listed activity'!K11</f>
        <v>0</v>
      </c>
      <c r="E10" s="376" t="s">
        <v>33</v>
      </c>
      <c r="F10" s="375">
        <f>+'3 Complexities'!E55</f>
        <v>0</v>
      </c>
      <c r="G10" s="374" t="s">
        <v>33</v>
      </c>
      <c r="H10" s="604"/>
    </row>
    <row r="11" spans="2:8" x14ac:dyDescent="0.3">
      <c r="B11" s="1001"/>
      <c r="C11" s="1002"/>
      <c r="D11" s="375">
        <f>+'1 Listed activity'!K12</f>
        <v>0</v>
      </c>
      <c r="E11" s="376" t="s">
        <v>34</v>
      </c>
      <c r="F11" s="375">
        <f>+'3 Complexities'!E56</f>
        <v>0</v>
      </c>
      <c r="G11" s="374" t="s">
        <v>34</v>
      </c>
      <c r="H11" s="604"/>
    </row>
    <row r="12" spans="2:8" x14ac:dyDescent="0.3">
      <c r="B12" s="1003" t="s">
        <v>437</v>
      </c>
      <c r="C12" s="377" t="s">
        <v>295</v>
      </c>
      <c r="D12" s="1005"/>
      <c r="E12" s="375" t="str">
        <f>+'9 Emissions summary'!E24</f>
        <v>-</v>
      </c>
      <c r="F12" s="550"/>
      <c r="G12" s="375" t="str">
        <f>+'9 Emissions summary'!E24</f>
        <v>-</v>
      </c>
      <c r="H12" s="604"/>
    </row>
    <row r="13" spans="2:8" x14ac:dyDescent="0.3">
      <c r="B13" s="1004"/>
      <c r="C13" s="377" t="s">
        <v>296</v>
      </c>
      <c r="D13" s="1006"/>
      <c r="E13" s="375" t="str">
        <f>+'9 Emissions summary'!E25</f>
        <v>-</v>
      </c>
      <c r="F13" s="550"/>
      <c r="G13" s="375" t="str">
        <f>+'9 Emissions summary'!E25</f>
        <v>-</v>
      </c>
      <c r="H13" s="604"/>
    </row>
    <row r="14" spans="2:8" x14ac:dyDescent="0.3">
      <c r="B14" s="1004"/>
      <c r="C14" s="377" t="s">
        <v>297</v>
      </c>
      <c r="D14" s="1006"/>
      <c r="E14" s="375" t="str">
        <f>+'9 Emissions summary'!E26</f>
        <v>-</v>
      </c>
      <c r="F14" s="550"/>
      <c r="G14" s="375" t="str">
        <f>+'9 Emissions summary'!E26</f>
        <v>-</v>
      </c>
      <c r="H14" s="604"/>
    </row>
    <row r="15" spans="2:8" x14ac:dyDescent="0.3">
      <c r="B15" s="1004"/>
      <c r="C15" s="377" t="s">
        <v>298</v>
      </c>
      <c r="D15" s="1006"/>
      <c r="E15" s="375" t="str">
        <f>+'9 Emissions summary'!E27</f>
        <v>-</v>
      </c>
      <c r="F15" s="550"/>
      <c r="G15" s="375" t="str">
        <f>+'9 Emissions summary'!E27</f>
        <v>-</v>
      </c>
      <c r="H15" s="604"/>
    </row>
    <row r="16" spans="2:8" x14ac:dyDescent="0.3">
      <c r="B16" s="1004"/>
      <c r="C16" s="377" t="s">
        <v>299</v>
      </c>
      <c r="D16" s="873"/>
      <c r="E16" s="375" t="str">
        <f>+'9 Emissions summary'!E28</f>
        <v>-</v>
      </c>
      <c r="F16" s="550"/>
      <c r="G16" s="375" t="str">
        <f>+'9 Emissions summary'!E28</f>
        <v>-</v>
      </c>
      <c r="H16" s="604"/>
    </row>
    <row r="17" spans="2:8" x14ac:dyDescent="0.3">
      <c r="B17" s="608"/>
      <c r="C17" s="377" t="s">
        <v>300</v>
      </c>
      <c r="D17" s="378"/>
      <c r="E17" s="375" t="str">
        <f>+'9 Emissions summary'!E29</f>
        <v>-</v>
      </c>
      <c r="F17" s="550"/>
      <c r="G17" s="375" t="str">
        <f>+'9 Emissions summary'!E29</f>
        <v>-</v>
      </c>
      <c r="H17" s="604"/>
    </row>
    <row r="18" spans="2:8" x14ac:dyDescent="0.3">
      <c r="B18" s="609" t="s">
        <v>5</v>
      </c>
      <c r="C18" s="994"/>
      <c r="D18" s="995"/>
      <c r="E18" s="375" t="str">
        <f>+'10 Location'!F42</f>
        <v>A</v>
      </c>
      <c r="F18" s="379"/>
      <c r="G18" s="375" t="str">
        <f>+'10 Location'!F42</f>
        <v>A</v>
      </c>
      <c r="H18" s="614" t="str">
        <f>IF(COUNTIF('10 Location'!D45:D51,"incomplete"),"Incomplete","Complete")</f>
        <v>Incomplete</v>
      </c>
    </row>
    <row r="19" spans="2:8" ht="15" thickBot="1" x14ac:dyDescent="0.35">
      <c r="B19" s="996" t="s">
        <v>335</v>
      </c>
      <c r="C19" s="997"/>
      <c r="D19" s="998"/>
      <c r="E19" s="610" t="str">
        <f>+'11 Operator performance'!H155</f>
        <v>E</v>
      </c>
      <c r="F19" s="611"/>
      <c r="G19" s="610" t="str">
        <f>+'11 Operator performance'!H155</f>
        <v>E</v>
      </c>
      <c r="H19" s="612" t="str">
        <f>IF(COUNTIF('11 Operator performance'!J163:J166,"incomplete"),"Incomplete","Complete")</f>
        <v>Incomplete</v>
      </c>
    </row>
  </sheetData>
  <sheetProtection algorithmName="SHA-512" hashValue="GNhvT6bbX9GJRigF3AAs8qnxuAYzMGiHhiIRljtMZuya4n+QPEkLMoPsk6u+xrL0GXpwg5t/3zH31QEeBKKanQ==" saltValue="hRO6dY0ohNg2sbZJq4wI0A==" spinCount="100000" sheet="1" objects="1" scenarios="1"/>
  <mergeCells count="15">
    <mergeCell ref="F5:G5"/>
    <mergeCell ref="B6:C6"/>
    <mergeCell ref="D2:G2"/>
    <mergeCell ref="D3:G3"/>
    <mergeCell ref="B3:C3"/>
    <mergeCell ref="B7:C7"/>
    <mergeCell ref="D5:E5"/>
    <mergeCell ref="C18:D18"/>
    <mergeCell ref="B19:D19"/>
    <mergeCell ref="B8:C8"/>
    <mergeCell ref="B9:C9"/>
    <mergeCell ref="B10:C10"/>
    <mergeCell ref="B11:C11"/>
    <mergeCell ref="B12:B16"/>
    <mergeCell ref="D12:D16"/>
  </mergeCells>
  <conditionalFormatting sqref="H18:H19">
    <cfRule type="containsText" dxfId="4" priority="1" operator="containsText" text="incomplete">
      <formula>NOT(ISERROR(SEARCH("incomplete",H18)))</formula>
    </cfRule>
    <cfRule type="containsText" dxfId="3" priority="2" operator="containsText" text="complete">
      <formula>NOT(ISERROR(SEARCH("complete",H18)))</formula>
    </cfRule>
    <cfRule type="cellIs" dxfId="2" priority="3" operator="equal">
      <formula>"Complete"</formula>
    </cfRule>
    <cfRule type="cellIs" dxfId="1" priority="4" operator="equal">
      <formula>"Incomplete"</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1D3DA-557D-41B7-87CF-8EA81F06D11F}">
  <dimension ref="B1:J41"/>
  <sheetViews>
    <sheetView zoomScaleNormal="100" workbookViewId="0">
      <selection activeCell="J15" sqref="J15"/>
    </sheetView>
  </sheetViews>
  <sheetFormatPr defaultRowHeight="14.4" x14ac:dyDescent="0.3"/>
  <cols>
    <col min="3" max="3" width="28.77734375" customWidth="1"/>
    <col min="4" max="4" width="15.77734375" customWidth="1"/>
    <col min="5" max="6" width="11.77734375" customWidth="1"/>
    <col min="7" max="7" width="11.44140625" customWidth="1"/>
    <col min="8" max="8" width="10.77734375" customWidth="1"/>
    <col min="9" max="9" width="13" customWidth="1"/>
    <col min="10" max="10" width="22.5546875" customWidth="1"/>
  </cols>
  <sheetData>
    <row r="1" spans="2:10" ht="15" thickBot="1" x14ac:dyDescent="0.35"/>
    <row r="2" spans="2:10" x14ac:dyDescent="0.3">
      <c r="B2" s="267"/>
      <c r="C2" s="268"/>
      <c r="D2" s="268"/>
      <c r="E2" s="268"/>
      <c r="F2" s="268"/>
      <c r="G2" s="268"/>
      <c r="H2" s="268"/>
      <c r="I2" s="268"/>
      <c r="J2" s="479"/>
    </row>
    <row r="3" spans="2:10" ht="15.6" x14ac:dyDescent="0.3">
      <c r="B3" s="269"/>
      <c r="C3" s="620" t="s">
        <v>47</v>
      </c>
      <c r="D3" s="1014">
        <f>+Introduction!E10</f>
        <v>0</v>
      </c>
      <c r="E3" s="1015"/>
      <c r="F3" s="1016" t="s">
        <v>795</v>
      </c>
      <c r="G3" s="1017"/>
      <c r="H3" s="1014">
        <f>+Introduction!K10</f>
        <v>0</v>
      </c>
      <c r="I3" s="1015"/>
      <c r="J3" s="36"/>
    </row>
    <row r="4" spans="2:10" x14ac:dyDescent="0.3">
      <c r="B4" s="270"/>
      <c r="C4" s="480"/>
      <c r="D4" s="480"/>
      <c r="E4" s="480"/>
      <c r="F4" s="480"/>
      <c r="G4" s="480"/>
      <c r="H4" s="480"/>
      <c r="I4" s="480"/>
      <c r="J4" s="36"/>
    </row>
    <row r="5" spans="2:10" ht="21" x14ac:dyDescent="0.4">
      <c r="B5" s="270"/>
      <c r="C5" s="481" t="s">
        <v>438</v>
      </c>
      <c r="D5" s="480"/>
      <c r="E5" s="480"/>
      <c r="F5" s="480"/>
      <c r="G5" s="480"/>
      <c r="H5" s="480"/>
      <c r="I5" s="480"/>
      <c r="J5" s="36"/>
    </row>
    <row r="6" spans="2:10" x14ac:dyDescent="0.3">
      <c r="B6" s="270"/>
      <c r="C6" s="482" t="s">
        <v>439</v>
      </c>
      <c r="D6" s="480"/>
      <c r="E6" s="480"/>
      <c r="F6" s="480"/>
      <c r="G6" s="480"/>
      <c r="H6" s="480"/>
      <c r="I6" s="480"/>
      <c r="J6" s="36"/>
    </row>
    <row r="7" spans="2:10" ht="17.399999999999999" x14ac:dyDescent="0.3">
      <c r="B7" s="270"/>
      <c r="C7" s="483" t="s">
        <v>440</v>
      </c>
      <c r="D7" s="484"/>
      <c r="E7" s="485"/>
      <c r="F7" s="480"/>
      <c r="G7" s="480"/>
      <c r="H7" s="480"/>
      <c r="I7" s="480"/>
      <c r="J7" s="36"/>
    </row>
    <row r="8" spans="2:10" ht="15" thickBot="1" x14ac:dyDescent="0.35">
      <c r="B8" s="270"/>
      <c r="C8" s="480"/>
      <c r="D8" s="480"/>
      <c r="E8" s="480"/>
      <c r="F8" s="480"/>
      <c r="G8" s="480"/>
      <c r="H8" s="480"/>
      <c r="I8" s="480"/>
      <c r="J8" s="36"/>
    </row>
    <row r="9" spans="2:10" ht="31.8" thickBot="1" x14ac:dyDescent="0.35">
      <c r="B9" s="270"/>
      <c r="C9" s="617" t="s">
        <v>435</v>
      </c>
      <c r="D9" s="631" t="s">
        <v>302</v>
      </c>
      <c r="E9" s="618" t="s">
        <v>436</v>
      </c>
      <c r="F9" s="618" t="s">
        <v>307</v>
      </c>
      <c r="G9" s="619" t="s">
        <v>441</v>
      </c>
      <c r="H9" s="480"/>
      <c r="I9" s="480"/>
      <c r="J9" s="36"/>
    </row>
    <row r="10" spans="2:10" ht="15.6" x14ac:dyDescent="0.3">
      <c r="B10" s="270"/>
      <c r="C10" s="615" t="s">
        <v>51</v>
      </c>
      <c r="D10" s="621" t="s">
        <v>31</v>
      </c>
      <c r="E10" s="632">
        <f>+'12 EP Summary'!F7</f>
        <v>0</v>
      </c>
      <c r="F10" s="623">
        <v>2</v>
      </c>
      <c r="G10" s="624">
        <f>+F10*E10</f>
        <v>0</v>
      </c>
      <c r="H10" s="480"/>
      <c r="I10" s="480"/>
      <c r="J10" s="36"/>
    </row>
    <row r="11" spans="2:10" ht="15.6" x14ac:dyDescent="0.3">
      <c r="B11" s="270"/>
      <c r="C11" s="615"/>
      <c r="D11" s="621" t="s">
        <v>32</v>
      </c>
      <c r="E11" s="633">
        <f>+'12 EP Summary'!F8</f>
        <v>0</v>
      </c>
      <c r="F11" s="623">
        <v>15</v>
      </c>
      <c r="G11" s="624">
        <f t="shared" ref="G11:G14" si="0">+F11*E11</f>
        <v>0</v>
      </c>
      <c r="H11" s="480"/>
      <c r="I11" s="480"/>
      <c r="J11" s="36"/>
    </row>
    <row r="12" spans="2:10" ht="15.6" x14ac:dyDescent="0.3">
      <c r="B12" s="270"/>
      <c r="C12" s="615"/>
      <c r="D12" s="621" t="s">
        <v>30</v>
      </c>
      <c r="E12" s="633">
        <f>+'12 EP Summary'!F9</f>
        <v>0</v>
      </c>
      <c r="F12" s="623">
        <v>45</v>
      </c>
      <c r="G12" s="624">
        <f t="shared" si="0"/>
        <v>0</v>
      </c>
      <c r="H12" s="480"/>
      <c r="I12" s="480"/>
      <c r="J12" s="36"/>
    </row>
    <row r="13" spans="2:10" ht="15.6" x14ac:dyDescent="0.3">
      <c r="B13" s="270"/>
      <c r="C13" s="615"/>
      <c r="D13" s="621" t="s">
        <v>33</v>
      </c>
      <c r="E13" s="633">
        <f>+'12 EP Summary'!F10</f>
        <v>0</v>
      </c>
      <c r="F13" s="623">
        <v>82</v>
      </c>
      <c r="G13" s="624">
        <f t="shared" si="0"/>
        <v>0</v>
      </c>
      <c r="H13" s="480"/>
      <c r="I13" s="480"/>
      <c r="J13" s="36"/>
    </row>
    <row r="14" spans="2:10" ht="15.6" x14ac:dyDescent="0.3">
      <c r="B14" s="270"/>
      <c r="C14" s="615"/>
      <c r="D14" s="621" t="s">
        <v>34</v>
      </c>
      <c r="E14" s="633">
        <f>+'12 EP Summary'!F11</f>
        <v>0</v>
      </c>
      <c r="F14" s="623">
        <v>110</v>
      </c>
      <c r="G14" s="624">
        <f t="shared" si="0"/>
        <v>0</v>
      </c>
      <c r="H14" s="480"/>
      <c r="I14" s="480"/>
      <c r="J14" s="36"/>
    </row>
    <row r="15" spans="2:10" ht="15.6" x14ac:dyDescent="0.3">
      <c r="B15" s="270"/>
      <c r="C15" s="615" t="s">
        <v>10</v>
      </c>
      <c r="D15" s="622" t="str">
        <f>+'12 EP Summary'!G12</f>
        <v>-</v>
      </c>
      <c r="E15" s="634"/>
      <c r="F15" s="625"/>
      <c r="G15" s="624">
        <f>IF(D15="E",50,(IF(D15="D",35,(IF(D15="C",20,(IF(D15="B",10,(IF(D15="A",3,0)))))))))</f>
        <v>0</v>
      </c>
      <c r="H15" s="480"/>
      <c r="I15" s="480"/>
      <c r="J15" s="36"/>
    </row>
    <row r="16" spans="2:10" ht="15.6" x14ac:dyDescent="0.3">
      <c r="B16" s="270"/>
      <c r="C16" s="615" t="s">
        <v>12</v>
      </c>
      <c r="D16" s="622" t="str">
        <f>+'12 EP Summary'!G13</f>
        <v>-</v>
      </c>
      <c r="E16" s="634"/>
      <c r="F16" s="625"/>
      <c r="G16" s="624">
        <f t="shared" ref="G16:G17" si="1">IF(D16="E",50,(IF(D16="D",35,(IF(D16="C",20,(IF(D16="B",10,(IF(D16="A",3,0)))))))))</f>
        <v>0</v>
      </c>
      <c r="H16" s="480"/>
      <c r="I16" s="480"/>
      <c r="J16" s="36"/>
    </row>
    <row r="17" spans="2:10" ht="15.6" x14ac:dyDescent="0.3">
      <c r="B17" s="270"/>
      <c r="C17" s="615" t="s">
        <v>13</v>
      </c>
      <c r="D17" s="622" t="str">
        <f>+'12 EP Summary'!G14</f>
        <v>-</v>
      </c>
      <c r="E17" s="634"/>
      <c r="F17" s="625"/>
      <c r="G17" s="624">
        <f t="shared" si="1"/>
        <v>0</v>
      </c>
      <c r="H17" s="480"/>
      <c r="I17" s="480"/>
      <c r="J17" s="36"/>
    </row>
    <row r="18" spans="2:10" ht="15.6" x14ac:dyDescent="0.3">
      <c r="B18" s="270"/>
      <c r="C18" s="615" t="s">
        <v>14</v>
      </c>
      <c r="D18" s="622" t="str">
        <f>+'12 EP Summary'!G15</f>
        <v>-</v>
      </c>
      <c r="E18" s="634"/>
      <c r="F18" s="625"/>
      <c r="G18" s="624">
        <f>IF(D18="E",10,(IF(D18="D",5,(IF(D18="C",3,(IF(D18="B",2,(IF(D18="A",1,0)))))))))</f>
        <v>0</v>
      </c>
      <c r="H18" s="480"/>
      <c r="I18" s="480"/>
      <c r="J18" s="36"/>
    </row>
    <row r="19" spans="2:10" ht="15.6" x14ac:dyDescent="0.3">
      <c r="B19" s="270"/>
      <c r="C19" s="615" t="s">
        <v>442</v>
      </c>
      <c r="D19" s="622" t="str">
        <f>+'12 EP Summary'!G16</f>
        <v>-</v>
      </c>
      <c r="E19" s="634"/>
      <c r="F19" s="625"/>
      <c r="G19" s="624">
        <f>IF(D19="E",10,(IF(D19="D",5,(IF(D19="C",3,(IF(D19="B",2,(IF(D19="A",1,0)))))))))</f>
        <v>0</v>
      </c>
      <c r="H19" s="480"/>
      <c r="I19" s="480"/>
      <c r="J19" s="36"/>
    </row>
    <row r="20" spans="2:10" ht="15.6" x14ac:dyDescent="0.3">
      <c r="B20" s="270"/>
      <c r="C20" s="615" t="s">
        <v>443</v>
      </c>
      <c r="D20" s="622" t="str">
        <f>+'12 EP Summary'!G17</f>
        <v>-</v>
      </c>
      <c r="E20" s="634"/>
      <c r="F20" s="625"/>
      <c r="G20" s="624">
        <f t="shared" ref="G20" si="2">IF(D20="E",50,(IF(D20="D",35,(IF(D20="C",20,(IF(D20="B",10,(IF(D20="A",3,0)))))))))</f>
        <v>0</v>
      </c>
      <c r="H20" s="480"/>
      <c r="I20" s="480"/>
      <c r="J20" s="36"/>
    </row>
    <row r="21" spans="2:10" ht="15.6" x14ac:dyDescent="0.3">
      <c r="B21" s="270"/>
      <c r="C21" s="615" t="s">
        <v>5</v>
      </c>
      <c r="D21" s="622" t="str">
        <f>+'12 EP Summary'!G18</f>
        <v>A</v>
      </c>
      <c r="E21" s="634"/>
      <c r="F21" s="625"/>
      <c r="G21" s="624">
        <f>IF(D21="E",60,(IF(D21="D",40,(IF(D21="C",20,(IF(D21="B",10,(IF(D21="A",3,0)))))))))</f>
        <v>3</v>
      </c>
      <c r="H21" s="480" t="str">
        <f>+'12 EP Summary'!H18</f>
        <v>Incomplete</v>
      </c>
      <c r="I21" s="480"/>
      <c r="J21" s="36"/>
    </row>
    <row r="22" spans="2:10" ht="16.2" thickBot="1" x14ac:dyDescent="0.35">
      <c r="B22" s="270"/>
      <c r="C22" s="616" t="s">
        <v>335</v>
      </c>
      <c r="D22" s="622" t="str">
        <f>+'12 EP Summary'!G19</f>
        <v>E</v>
      </c>
      <c r="E22" s="635"/>
      <c r="F22" s="626"/>
      <c r="G22" s="624">
        <f>IF(D22="E",75,(IF(D22="D",60,(IF(D22="C",40,(IF(D22="B",25,(IF(D22="A",10,0)))))))))</f>
        <v>75</v>
      </c>
      <c r="H22" s="480" t="str">
        <f>+'12 EP Summary'!H19</f>
        <v>Incomplete</v>
      </c>
      <c r="I22" s="480"/>
      <c r="J22" s="36"/>
    </row>
    <row r="23" spans="2:10" ht="16.2" thickBot="1" x14ac:dyDescent="0.35">
      <c r="B23" s="270"/>
      <c r="C23" s="480"/>
      <c r="D23" s="1018" t="s">
        <v>444</v>
      </c>
      <c r="E23" s="1019"/>
      <c r="F23" s="1020"/>
      <c r="G23" s="627">
        <f>SUM(G10:G22)</f>
        <v>78</v>
      </c>
      <c r="H23" s="480"/>
      <c r="I23" s="480"/>
      <c r="J23" s="36"/>
    </row>
    <row r="24" spans="2:10" ht="15" thickBot="1" x14ac:dyDescent="0.35">
      <c r="B24" s="270"/>
      <c r="C24" s="480"/>
      <c r="D24" s="480"/>
      <c r="E24" s="480"/>
      <c r="F24" s="480"/>
      <c r="G24" s="480"/>
      <c r="H24" s="486"/>
      <c r="I24" s="480"/>
      <c r="J24" s="36"/>
    </row>
    <row r="25" spans="2:10" ht="16.2" thickBot="1" x14ac:dyDescent="0.35">
      <c r="B25" s="270"/>
      <c r="C25" s="480"/>
      <c r="D25" s="480"/>
      <c r="E25" s="480"/>
      <c r="F25" s="1021" t="s">
        <v>655</v>
      </c>
      <c r="G25" s="1022"/>
      <c r="H25" s="1022"/>
      <c r="I25" s="1022"/>
      <c r="J25" s="1023"/>
    </row>
    <row r="26" spans="2:10" ht="16.5" customHeight="1" x14ac:dyDescent="0.3">
      <c r="B26" s="270"/>
      <c r="C26" s="382"/>
      <c r="D26" s="480"/>
      <c r="E26" s="480"/>
      <c r="F26" s="1024" t="s">
        <v>749</v>
      </c>
      <c r="G26" s="1025"/>
      <c r="H26" s="1025"/>
      <c r="I26" s="1025"/>
      <c r="J26" s="1026"/>
    </row>
    <row r="27" spans="2:10" ht="15.75" customHeight="1" x14ac:dyDescent="0.3">
      <c r="B27" s="270"/>
      <c r="C27" s="730"/>
      <c r="D27" s="731"/>
      <c r="E27" s="480"/>
      <c r="F27" s="1027"/>
      <c r="G27" s="1028"/>
      <c r="H27" s="1028"/>
      <c r="I27" s="1028"/>
      <c r="J27" s="1029"/>
    </row>
    <row r="28" spans="2:10" x14ac:dyDescent="0.3">
      <c r="B28" s="270"/>
      <c r="C28" s="732"/>
      <c r="D28" s="733"/>
      <c r="E28" s="480"/>
      <c r="F28" s="1027"/>
      <c r="G28" s="1028"/>
      <c r="H28" s="1028"/>
      <c r="I28" s="1028"/>
      <c r="J28" s="1029"/>
    </row>
    <row r="29" spans="2:10" x14ac:dyDescent="0.3">
      <c r="B29" s="270"/>
      <c r="C29" s="390"/>
      <c r="D29" s="390"/>
      <c r="E29" s="480"/>
      <c r="F29" s="1027"/>
      <c r="G29" s="1028"/>
      <c r="H29" s="1028"/>
      <c r="I29" s="1028"/>
      <c r="J29" s="1029"/>
    </row>
    <row r="30" spans="2:10" ht="15" thickBot="1" x14ac:dyDescent="0.35">
      <c r="B30" s="270"/>
      <c r="C30" s="736" t="s">
        <v>793</v>
      </c>
      <c r="D30" s="731"/>
      <c r="E30" s="480"/>
      <c r="F30" s="1030"/>
      <c r="G30" s="1031"/>
      <c r="H30" s="1031"/>
      <c r="I30" s="1031"/>
      <c r="J30" s="1032"/>
    </row>
    <row r="31" spans="2:10" ht="15.6" x14ac:dyDescent="0.3">
      <c r="B31" s="270"/>
      <c r="C31" s="730"/>
      <c r="D31" s="731"/>
      <c r="E31" s="480"/>
      <c r="F31" s="480"/>
      <c r="G31" s="480"/>
      <c r="H31" s="480"/>
      <c r="I31" s="480"/>
      <c r="J31" s="36"/>
    </row>
    <row r="32" spans="2:10" ht="15.6" x14ac:dyDescent="0.3">
      <c r="B32" s="270"/>
      <c r="C32" s="487" t="s">
        <v>792</v>
      </c>
      <c r="D32" s="731"/>
      <c r="E32" s="480"/>
      <c r="F32" s="1034" t="s">
        <v>791</v>
      </c>
      <c r="G32" s="1035"/>
      <c r="H32" s="1035"/>
      <c r="I32" s="1036"/>
      <c r="J32" s="36"/>
    </row>
    <row r="33" spans="2:10" ht="15.6" x14ac:dyDescent="0.3">
      <c r="B33" s="270"/>
      <c r="C33" s="271"/>
      <c r="D33" s="629"/>
      <c r="E33" s="480"/>
      <c r="F33" s="1037"/>
      <c r="G33" s="1037"/>
      <c r="H33" s="1037"/>
      <c r="I33" s="628"/>
      <c r="J33" s="36"/>
    </row>
    <row r="34" spans="2:10" ht="15.6" x14ac:dyDescent="0.3">
      <c r="B34" s="270"/>
      <c r="C34" s="272" t="s">
        <v>445</v>
      </c>
      <c r="D34" s="630">
        <f>+G23*I34</f>
        <v>7956</v>
      </c>
      <c r="E34" s="480"/>
      <c r="F34" s="1037" t="s">
        <v>446</v>
      </c>
      <c r="G34" s="1037"/>
      <c r="H34" s="1037"/>
      <c r="I34" s="735">
        <f>+Picklists!AO6</f>
        <v>102</v>
      </c>
      <c r="J34" s="36"/>
    </row>
    <row r="35" spans="2:10" ht="15.6" x14ac:dyDescent="0.3">
      <c r="B35" s="270"/>
      <c r="C35" s="273"/>
      <c r="D35" s="737"/>
      <c r="E35" s="480"/>
      <c r="F35" s="1038"/>
      <c r="G35" s="1038"/>
      <c r="H35" s="1038"/>
      <c r="I35" s="734"/>
      <c r="J35" s="36"/>
    </row>
    <row r="36" spans="2:10" ht="15.6" x14ac:dyDescent="0.3">
      <c r="B36" s="270"/>
      <c r="C36" s="730"/>
      <c r="D36" s="731"/>
      <c r="E36" s="480"/>
      <c r="F36" s="1033"/>
      <c r="G36" s="1033"/>
      <c r="H36" s="1033"/>
      <c r="I36" s="734"/>
      <c r="J36" s="36"/>
    </row>
    <row r="37" spans="2:10" ht="15.6" x14ac:dyDescent="0.3">
      <c r="B37" s="270"/>
      <c r="C37" s="738" t="s">
        <v>447</v>
      </c>
      <c r="D37" s="731"/>
      <c r="E37" s="480"/>
      <c r="F37" s="1033"/>
      <c r="G37" s="1033"/>
      <c r="H37" s="1033"/>
      <c r="I37" s="734"/>
      <c r="J37" s="36"/>
    </row>
    <row r="38" spans="2:10" ht="15.6" x14ac:dyDescent="0.3">
      <c r="B38" s="270"/>
      <c r="C38" s="732"/>
      <c r="D38" s="733"/>
      <c r="E38" s="480"/>
      <c r="F38" s="1033"/>
      <c r="G38" s="1033"/>
      <c r="H38" s="1033"/>
      <c r="I38" s="734"/>
      <c r="J38" s="36"/>
    </row>
    <row r="39" spans="2:10" ht="15.6" x14ac:dyDescent="0.3">
      <c r="B39" s="270"/>
      <c r="C39" s="730"/>
      <c r="D39" s="731"/>
      <c r="E39" s="480"/>
      <c r="F39" s="1033"/>
      <c r="G39" s="1033"/>
      <c r="H39" s="1033"/>
      <c r="I39" s="734"/>
      <c r="J39" s="36"/>
    </row>
    <row r="40" spans="2:10" x14ac:dyDescent="0.3">
      <c r="B40" s="270"/>
      <c r="C40" s="480"/>
      <c r="D40" s="480"/>
      <c r="E40" s="480"/>
      <c r="F40" s="480"/>
      <c r="G40" s="480"/>
      <c r="H40" s="480"/>
      <c r="I40" s="480"/>
      <c r="J40" s="36"/>
    </row>
    <row r="41" spans="2:10" ht="15" thickBot="1" x14ac:dyDescent="0.35">
      <c r="B41" s="274"/>
      <c r="C41" s="275"/>
      <c r="D41" s="276"/>
      <c r="E41" s="276"/>
      <c r="F41" s="276"/>
      <c r="G41" s="276"/>
      <c r="H41" s="276"/>
      <c r="I41" s="276"/>
      <c r="J41" s="371"/>
    </row>
  </sheetData>
  <sheetProtection algorithmName="SHA-512" hashValue="xVYVH8MufA70oXYk5fToAKpPl7fFJRsOFgml01eW7qOTJKrgu6V5RrVy3ANmJcVodUVOgRmcuFB0iqe4+Qewnw==" saltValue="zUfPK1ZxU7zgUL8sd5owGg==" spinCount="100000" sheet="1" objects="1" scenarios="1"/>
  <mergeCells count="14">
    <mergeCell ref="F26:J30"/>
    <mergeCell ref="F38:H38"/>
    <mergeCell ref="F39:H39"/>
    <mergeCell ref="F32:I32"/>
    <mergeCell ref="F33:H33"/>
    <mergeCell ref="F34:H34"/>
    <mergeCell ref="F35:H35"/>
    <mergeCell ref="F36:H36"/>
    <mergeCell ref="F37:H37"/>
    <mergeCell ref="D3:E3"/>
    <mergeCell ref="F3:G3"/>
    <mergeCell ref="H3:I3"/>
    <mergeCell ref="D23:F23"/>
    <mergeCell ref="F25:J25"/>
  </mergeCells>
  <conditionalFormatting sqref="H21:H22">
    <cfRule type="containsText" dxfId="0" priority="1" operator="containsText" text="incomplete">
      <formula>NOT(ISERROR(SEARCH("incomplete",H21)))</formula>
    </cfRule>
  </conditionalFormatting>
  <hyperlinks>
    <hyperlink ref="C30" r:id="rId1" xr:uid="{36E443A0-9904-4011-BED6-60108371298E}"/>
  </hyperlinks>
  <pageMargins left="0.7" right="0.7" top="0.75" bottom="0.75" header="0.3" footer="0.3"/>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81E0CC-0749-44ED-970E-2AD5308EED85}">
  <sheetPr>
    <tabColor theme="1"/>
  </sheetPr>
  <dimension ref="B1:AO140"/>
  <sheetViews>
    <sheetView workbookViewId="0">
      <selection activeCell="AA14" sqref="AA14"/>
    </sheetView>
  </sheetViews>
  <sheetFormatPr defaultRowHeight="14.4" x14ac:dyDescent="0.3"/>
  <cols>
    <col min="4" max="4" width="26.77734375" customWidth="1"/>
    <col min="10" max="10" width="14.77734375" customWidth="1"/>
    <col min="11" max="12" width="18.5546875" customWidth="1"/>
    <col min="18" max="18" width="21.5546875" customWidth="1"/>
  </cols>
  <sheetData>
    <row r="1" spans="2:41" x14ac:dyDescent="0.3">
      <c r="B1" t="s">
        <v>43</v>
      </c>
      <c r="D1" t="s">
        <v>44</v>
      </c>
      <c r="H1" t="s">
        <v>56</v>
      </c>
      <c r="J1" t="s">
        <v>56</v>
      </c>
      <c r="P1" t="s">
        <v>641</v>
      </c>
      <c r="R1" t="s">
        <v>56</v>
      </c>
      <c r="W1" t="s">
        <v>334</v>
      </c>
      <c r="Y1" t="s">
        <v>430</v>
      </c>
      <c r="AM1" t="s">
        <v>630</v>
      </c>
    </row>
    <row r="2" spans="2:41" x14ac:dyDescent="0.3">
      <c r="B2" t="s">
        <v>16</v>
      </c>
      <c r="D2" t="s">
        <v>45</v>
      </c>
      <c r="E2" t="s">
        <v>51</v>
      </c>
      <c r="J2" t="s">
        <v>57</v>
      </c>
      <c r="R2" t="s">
        <v>76</v>
      </c>
      <c r="W2" t="s">
        <v>17</v>
      </c>
      <c r="Y2" t="s">
        <v>17</v>
      </c>
      <c r="AB2" t="s">
        <v>17</v>
      </c>
      <c r="AC2" t="s">
        <v>18</v>
      </c>
    </row>
    <row r="3" spans="2:41" ht="28.8" x14ac:dyDescent="0.3">
      <c r="B3" t="s">
        <v>17</v>
      </c>
      <c r="D3" s="28" t="s">
        <v>551</v>
      </c>
      <c r="E3" s="29" t="s">
        <v>30</v>
      </c>
      <c r="H3" t="s">
        <v>55</v>
      </c>
      <c r="J3" t="s">
        <v>74</v>
      </c>
      <c r="K3" t="s">
        <v>75</v>
      </c>
      <c r="L3" t="s">
        <v>648</v>
      </c>
      <c r="M3" t="s">
        <v>755</v>
      </c>
      <c r="N3" t="s">
        <v>647</v>
      </c>
      <c r="O3" t="s">
        <v>646</v>
      </c>
      <c r="P3" t="s">
        <v>642</v>
      </c>
      <c r="R3" t="s">
        <v>45</v>
      </c>
      <c r="S3" t="s">
        <v>46</v>
      </c>
      <c r="U3" t="s">
        <v>77</v>
      </c>
      <c r="W3" t="s">
        <v>18</v>
      </c>
      <c r="Y3" t="s">
        <v>18</v>
      </c>
      <c r="AB3" t="s">
        <v>18</v>
      </c>
      <c r="AC3" t="s">
        <v>671</v>
      </c>
    </row>
    <row r="4" spans="2:41" x14ac:dyDescent="0.3">
      <c r="B4" t="s">
        <v>18</v>
      </c>
      <c r="D4" s="28" t="s">
        <v>448</v>
      </c>
      <c r="E4" s="29" t="s">
        <v>33</v>
      </c>
      <c r="J4" t="s">
        <v>58</v>
      </c>
      <c r="K4" t="s">
        <v>62</v>
      </c>
      <c r="L4" t="s">
        <v>649</v>
      </c>
      <c r="M4" t="s">
        <v>745</v>
      </c>
      <c r="N4" t="s">
        <v>643</v>
      </c>
      <c r="O4" t="s">
        <v>645</v>
      </c>
      <c r="P4" t="s">
        <v>644</v>
      </c>
      <c r="R4" t="s">
        <v>552</v>
      </c>
      <c r="U4">
        <v>1</v>
      </c>
      <c r="AA4" t="s">
        <v>728</v>
      </c>
      <c r="AB4" t="s">
        <v>17</v>
      </c>
    </row>
    <row r="5" spans="2:41" x14ac:dyDescent="0.3">
      <c r="D5" s="28" t="s">
        <v>449</v>
      </c>
      <c r="E5" s="29" t="s">
        <v>33</v>
      </c>
      <c r="J5" t="s">
        <v>67</v>
      </c>
      <c r="K5" t="s">
        <v>63</v>
      </c>
      <c r="L5" t="s">
        <v>650</v>
      </c>
      <c r="U5">
        <v>2</v>
      </c>
      <c r="Y5" t="s">
        <v>17</v>
      </c>
      <c r="AA5">
        <v>1</v>
      </c>
      <c r="AM5" t="s">
        <v>631</v>
      </c>
      <c r="AO5">
        <v>211</v>
      </c>
    </row>
    <row r="6" spans="2:41" x14ac:dyDescent="0.3">
      <c r="D6" s="28" t="s">
        <v>450</v>
      </c>
      <c r="E6" s="29" t="s">
        <v>34</v>
      </c>
      <c r="J6" t="s">
        <v>68</v>
      </c>
      <c r="K6" t="s">
        <v>64</v>
      </c>
      <c r="L6" t="s">
        <v>651</v>
      </c>
      <c r="U6">
        <v>3</v>
      </c>
      <c r="Y6" t="s">
        <v>18</v>
      </c>
      <c r="AA6">
        <v>2</v>
      </c>
      <c r="AM6" t="s">
        <v>633</v>
      </c>
      <c r="AO6">
        <v>102</v>
      </c>
    </row>
    <row r="7" spans="2:41" x14ac:dyDescent="0.3">
      <c r="D7" s="28" t="s">
        <v>451</v>
      </c>
      <c r="E7" s="29" t="s">
        <v>32</v>
      </c>
      <c r="J7" t="s">
        <v>69</v>
      </c>
      <c r="K7" t="s">
        <v>65</v>
      </c>
      <c r="L7" t="s">
        <v>653</v>
      </c>
      <c r="U7">
        <v>4</v>
      </c>
      <c r="Y7" t="s">
        <v>671</v>
      </c>
      <c r="AA7">
        <v>3</v>
      </c>
      <c r="AM7" t="s">
        <v>632</v>
      </c>
      <c r="AO7">
        <v>58</v>
      </c>
    </row>
    <row r="8" spans="2:41" x14ac:dyDescent="0.3">
      <c r="D8" s="28" t="s">
        <v>35</v>
      </c>
      <c r="E8" s="29" t="s">
        <v>34</v>
      </c>
      <c r="J8" t="s">
        <v>70</v>
      </c>
      <c r="K8" t="s">
        <v>59</v>
      </c>
      <c r="L8" t="s">
        <v>654</v>
      </c>
      <c r="U8">
        <v>5</v>
      </c>
      <c r="AA8">
        <v>4</v>
      </c>
      <c r="AM8" t="s">
        <v>634</v>
      </c>
      <c r="AO8">
        <v>116</v>
      </c>
    </row>
    <row r="9" spans="2:41" x14ac:dyDescent="0.3">
      <c r="D9" s="28" t="s">
        <v>452</v>
      </c>
      <c r="E9" s="29" t="s">
        <v>30</v>
      </c>
      <c r="J9" t="s">
        <v>553</v>
      </c>
      <c r="K9" t="s">
        <v>60</v>
      </c>
      <c r="L9" t="s">
        <v>652</v>
      </c>
      <c r="U9">
        <v>6</v>
      </c>
      <c r="AA9">
        <v>5</v>
      </c>
      <c r="AM9" t="s">
        <v>635</v>
      </c>
      <c r="AO9">
        <v>130</v>
      </c>
    </row>
    <row r="10" spans="2:41" x14ac:dyDescent="0.3">
      <c r="D10" s="28" t="s">
        <v>453</v>
      </c>
      <c r="E10" s="29" t="s">
        <v>30</v>
      </c>
      <c r="J10" t="s">
        <v>559</v>
      </c>
      <c r="K10" t="s">
        <v>61</v>
      </c>
      <c r="AA10" t="s">
        <v>670</v>
      </c>
      <c r="AM10" t="s">
        <v>636</v>
      </c>
      <c r="AO10">
        <v>100</v>
      </c>
    </row>
    <row r="11" spans="2:41" x14ac:dyDescent="0.3">
      <c r="D11" s="28" t="s">
        <v>454</v>
      </c>
      <c r="E11" s="29" t="s">
        <v>30</v>
      </c>
      <c r="J11" t="s">
        <v>560</v>
      </c>
      <c r="K11" t="s">
        <v>66</v>
      </c>
    </row>
    <row r="12" spans="2:41" ht="43.2" x14ac:dyDescent="0.3">
      <c r="D12" s="28" t="s">
        <v>455</v>
      </c>
      <c r="E12" s="29" t="s">
        <v>32</v>
      </c>
      <c r="J12" t="s">
        <v>569</v>
      </c>
      <c r="K12" t="s">
        <v>71</v>
      </c>
      <c r="V12" s="929" t="s">
        <v>660</v>
      </c>
      <c r="W12" t="s">
        <v>767</v>
      </c>
      <c r="X12" t="s">
        <v>769</v>
      </c>
      <c r="Z12" t="s">
        <v>779</v>
      </c>
      <c r="AA12" t="s">
        <v>775</v>
      </c>
      <c r="AB12" s="145" t="s">
        <v>762</v>
      </c>
      <c r="AC12" t="s">
        <v>766</v>
      </c>
      <c r="AD12" t="s">
        <v>763</v>
      </c>
      <c r="AE12" t="s">
        <v>764</v>
      </c>
      <c r="AF12" t="s">
        <v>765</v>
      </c>
    </row>
    <row r="13" spans="2:41" ht="43.2" x14ac:dyDescent="0.3">
      <c r="D13" s="28" t="s">
        <v>456</v>
      </c>
      <c r="E13" s="29" t="s">
        <v>34</v>
      </c>
      <c r="J13" t="s">
        <v>568</v>
      </c>
      <c r="K13" t="s">
        <v>72</v>
      </c>
      <c r="V13" s="906"/>
      <c r="W13" s="145" t="s">
        <v>762</v>
      </c>
      <c r="X13" t="s">
        <v>770</v>
      </c>
      <c r="Z13" t="s">
        <v>773</v>
      </c>
      <c r="AA13" t="s">
        <v>782</v>
      </c>
      <c r="AB13" t="s">
        <v>768</v>
      </c>
    </row>
    <row r="14" spans="2:41" x14ac:dyDescent="0.3">
      <c r="D14" s="28" t="s">
        <v>457</v>
      </c>
      <c r="E14" s="29" t="s">
        <v>30</v>
      </c>
      <c r="J14" t="s">
        <v>573</v>
      </c>
      <c r="K14" t="s">
        <v>73</v>
      </c>
      <c r="V14" s="906"/>
      <c r="W14" t="s">
        <v>766</v>
      </c>
      <c r="X14" t="s">
        <v>771</v>
      </c>
      <c r="Z14" t="s">
        <v>774</v>
      </c>
      <c r="AB14" t="s">
        <v>772</v>
      </c>
    </row>
    <row r="15" spans="2:41" x14ac:dyDescent="0.3">
      <c r="D15" s="28" t="s">
        <v>458</v>
      </c>
      <c r="E15" s="29" t="s">
        <v>34</v>
      </c>
      <c r="J15" t="s">
        <v>589</v>
      </c>
      <c r="K15" t="s">
        <v>554</v>
      </c>
      <c r="V15" s="906"/>
      <c r="W15" t="s">
        <v>763</v>
      </c>
      <c r="Z15" t="s">
        <v>778</v>
      </c>
    </row>
    <row r="16" spans="2:41" x14ac:dyDescent="0.3">
      <c r="D16" s="28" t="s">
        <v>36</v>
      </c>
      <c r="E16" s="29" t="s">
        <v>30</v>
      </c>
      <c r="J16" t="s">
        <v>590</v>
      </c>
      <c r="K16" t="s">
        <v>555</v>
      </c>
      <c r="V16" s="906"/>
      <c r="W16" t="s">
        <v>777</v>
      </c>
    </row>
    <row r="17" spans="4:23" x14ac:dyDescent="0.3">
      <c r="D17" s="28" t="s">
        <v>629</v>
      </c>
      <c r="E17" s="29" t="s">
        <v>34</v>
      </c>
      <c r="J17" t="s">
        <v>596</v>
      </c>
      <c r="K17" t="s">
        <v>556</v>
      </c>
      <c r="V17" s="907"/>
      <c r="W17" t="s">
        <v>765</v>
      </c>
    </row>
    <row r="18" spans="4:23" x14ac:dyDescent="0.3">
      <c r="D18" s="28" t="s">
        <v>628</v>
      </c>
      <c r="E18" s="29" t="s">
        <v>33</v>
      </c>
      <c r="J18" t="s">
        <v>597</v>
      </c>
      <c r="K18" t="s">
        <v>557</v>
      </c>
    </row>
    <row r="19" spans="4:23" x14ac:dyDescent="0.3">
      <c r="D19" s="28" t="s">
        <v>37</v>
      </c>
      <c r="E19" s="29" t="s">
        <v>30</v>
      </c>
      <c r="J19" t="s">
        <v>598</v>
      </c>
      <c r="K19" t="s">
        <v>558</v>
      </c>
    </row>
    <row r="20" spans="4:23" x14ac:dyDescent="0.3">
      <c r="D20" s="28" t="s">
        <v>38</v>
      </c>
      <c r="E20" s="29" t="s">
        <v>31</v>
      </c>
      <c r="J20" t="s">
        <v>603</v>
      </c>
      <c r="K20" t="s">
        <v>561</v>
      </c>
    </row>
    <row r="21" spans="4:23" x14ac:dyDescent="0.3">
      <c r="D21" s="28" t="s">
        <v>459</v>
      </c>
      <c r="E21" s="29" t="s">
        <v>30</v>
      </c>
      <c r="J21" t="s">
        <v>604</v>
      </c>
      <c r="K21" t="s">
        <v>562</v>
      </c>
    </row>
    <row r="22" spans="4:23" x14ac:dyDescent="0.3">
      <c r="D22" s="28" t="s">
        <v>460</v>
      </c>
      <c r="E22" s="29" t="s">
        <v>32</v>
      </c>
      <c r="J22" t="s">
        <v>612</v>
      </c>
      <c r="K22" t="s">
        <v>563</v>
      </c>
    </row>
    <row r="23" spans="4:23" x14ac:dyDescent="0.3">
      <c r="D23" s="28" t="s">
        <v>461</v>
      </c>
      <c r="E23" s="29" t="s">
        <v>32</v>
      </c>
      <c r="J23" t="s">
        <v>620</v>
      </c>
      <c r="K23" t="s">
        <v>564</v>
      </c>
    </row>
    <row r="24" spans="4:23" x14ac:dyDescent="0.3">
      <c r="D24" s="28" t="s">
        <v>462</v>
      </c>
      <c r="E24" s="29" t="s">
        <v>31</v>
      </c>
      <c r="K24" t="s">
        <v>565</v>
      </c>
    </row>
    <row r="25" spans="4:23" x14ac:dyDescent="0.3">
      <c r="D25" s="28" t="s">
        <v>39</v>
      </c>
      <c r="E25" s="29" t="s">
        <v>31</v>
      </c>
      <c r="K25" t="s">
        <v>566</v>
      </c>
    </row>
    <row r="26" spans="4:23" x14ac:dyDescent="0.3">
      <c r="D26" s="28" t="s">
        <v>463</v>
      </c>
      <c r="E26" s="29" t="s">
        <v>30</v>
      </c>
      <c r="K26" t="s">
        <v>567</v>
      </c>
    </row>
    <row r="27" spans="4:23" x14ac:dyDescent="0.3">
      <c r="D27" s="28" t="s">
        <v>464</v>
      </c>
      <c r="E27" s="29" t="s">
        <v>30</v>
      </c>
      <c r="K27" t="s">
        <v>570</v>
      </c>
    </row>
    <row r="28" spans="4:23" x14ac:dyDescent="0.3">
      <c r="D28" s="28" t="s">
        <v>465</v>
      </c>
      <c r="E28" s="29" t="s">
        <v>31</v>
      </c>
      <c r="K28" t="s">
        <v>571</v>
      </c>
    </row>
    <row r="29" spans="4:23" x14ac:dyDescent="0.3">
      <c r="D29" s="28" t="s">
        <v>466</v>
      </c>
      <c r="E29" s="29" t="s">
        <v>31</v>
      </c>
      <c r="K29" t="s">
        <v>572</v>
      </c>
    </row>
    <row r="30" spans="4:23" x14ac:dyDescent="0.3">
      <c r="D30" s="28" t="s">
        <v>467</v>
      </c>
      <c r="E30" s="29" t="s">
        <v>31</v>
      </c>
      <c r="K30" t="s">
        <v>574</v>
      </c>
    </row>
    <row r="31" spans="4:23" x14ac:dyDescent="0.3">
      <c r="D31" s="28" t="s">
        <v>468</v>
      </c>
      <c r="E31" s="29" t="s">
        <v>31</v>
      </c>
      <c r="K31" t="s">
        <v>575</v>
      </c>
    </row>
    <row r="32" spans="4:23" x14ac:dyDescent="0.3">
      <c r="D32" s="28" t="s">
        <v>469</v>
      </c>
      <c r="E32" s="29" t="s">
        <v>31</v>
      </c>
      <c r="K32" t="s">
        <v>576</v>
      </c>
    </row>
    <row r="33" spans="4:11" x14ac:dyDescent="0.3">
      <c r="D33" s="28" t="s">
        <v>687</v>
      </c>
      <c r="E33" s="29" t="s">
        <v>32</v>
      </c>
      <c r="K33" t="s">
        <v>577</v>
      </c>
    </row>
    <row r="34" spans="4:11" x14ac:dyDescent="0.3">
      <c r="D34" s="28" t="s">
        <v>688</v>
      </c>
      <c r="E34" s="29" t="s">
        <v>30</v>
      </c>
      <c r="K34" t="s">
        <v>578</v>
      </c>
    </row>
    <row r="35" spans="4:11" x14ac:dyDescent="0.3">
      <c r="D35" s="28" t="s">
        <v>689</v>
      </c>
      <c r="E35" s="29" t="s">
        <v>32</v>
      </c>
      <c r="K35" t="s">
        <v>579</v>
      </c>
    </row>
    <row r="36" spans="4:11" x14ac:dyDescent="0.3">
      <c r="D36" s="28" t="s">
        <v>690</v>
      </c>
      <c r="E36" s="29" t="s">
        <v>30</v>
      </c>
      <c r="K36" t="s">
        <v>580</v>
      </c>
    </row>
    <row r="37" spans="4:11" x14ac:dyDescent="0.3">
      <c r="D37" s="28" t="s">
        <v>691</v>
      </c>
      <c r="E37" s="29" t="s">
        <v>32</v>
      </c>
      <c r="K37" t="s">
        <v>581</v>
      </c>
    </row>
    <row r="38" spans="4:11" x14ac:dyDescent="0.3">
      <c r="D38" s="28" t="s">
        <v>692</v>
      </c>
      <c r="E38" s="29" t="s">
        <v>30</v>
      </c>
      <c r="K38" t="s">
        <v>582</v>
      </c>
    </row>
    <row r="39" spans="4:11" x14ac:dyDescent="0.3">
      <c r="D39" s="28" t="s">
        <v>693</v>
      </c>
      <c r="E39" s="29" t="s">
        <v>32</v>
      </c>
      <c r="K39" t="s">
        <v>583</v>
      </c>
    </row>
    <row r="40" spans="4:11" x14ac:dyDescent="0.3">
      <c r="D40" s="28" t="s">
        <v>694</v>
      </c>
      <c r="E40" s="29" t="s">
        <v>30</v>
      </c>
      <c r="K40" t="s">
        <v>584</v>
      </c>
    </row>
    <row r="41" spans="4:11" x14ac:dyDescent="0.3">
      <c r="D41" s="28" t="s">
        <v>695</v>
      </c>
      <c r="E41" s="29" t="s">
        <v>32</v>
      </c>
      <c r="K41" t="s">
        <v>585</v>
      </c>
    </row>
    <row r="42" spans="4:11" x14ac:dyDescent="0.3">
      <c r="D42" s="28" t="s">
        <v>696</v>
      </c>
      <c r="E42" s="29" t="s">
        <v>30</v>
      </c>
      <c r="K42" t="s">
        <v>586</v>
      </c>
    </row>
    <row r="43" spans="4:11" x14ac:dyDescent="0.3">
      <c r="D43" s="28" t="s">
        <v>697</v>
      </c>
      <c r="E43" s="29" t="s">
        <v>32</v>
      </c>
      <c r="K43" t="s">
        <v>587</v>
      </c>
    </row>
    <row r="44" spans="4:11" x14ac:dyDescent="0.3">
      <c r="D44" s="28" t="s">
        <v>698</v>
      </c>
      <c r="E44" s="29" t="s">
        <v>30</v>
      </c>
      <c r="K44" t="s">
        <v>588</v>
      </c>
    </row>
    <row r="45" spans="4:11" x14ac:dyDescent="0.3">
      <c r="D45" s="28" t="s">
        <v>699</v>
      </c>
      <c r="E45" s="29" t="s">
        <v>32</v>
      </c>
      <c r="K45" t="s">
        <v>591</v>
      </c>
    </row>
    <row r="46" spans="4:11" x14ac:dyDescent="0.3">
      <c r="D46" s="28" t="s">
        <v>700</v>
      </c>
      <c r="E46" s="29" t="s">
        <v>30</v>
      </c>
      <c r="K46" t="s">
        <v>592</v>
      </c>
    </row>
    <row r="47" spans="4:11" x14ac:dyDescent="0.3">
      <c r="D47" s="28" t="s">
        <v>701</v>
      </c>
      <c r="E47" s="29" t="s">
        <v>32</v>
      </c>
      <c r="K47" t="s">
        <v>593</v>
      </c>
    </row>
    <row r="48" spans="4:11" x14ac:dyDescent="0.3">
      <c r="D48" s="28" t="s">
        <v>702</v>
      </c>
      <c r="E48" s="29" t="s">
        <v>30</v>
      </c>
      <c r="K48" t="s">
        <v>594</v>
      </c>
    </row>
    <row r="49" spans="4:11" x14ac:dyDescent="0.3">
      <c r="D49" s="28" t="s">
        <v>703</v>
      </c>
      <c r="E49" s="29" t="s">
        <v>32</v>
      </c>
      <c r="K49" t="s">
        <v>595</v>
      </c>
    </row>
    <row r="50" spans="4:11" x14ac:dyDescent="0.3">
      <c r="D50" s="28" t="s">
        <v>704</v>
      </c>
      <c r="E50" s="29" t="s">
        <v>30</v>
      </c>
      <c r="K50" t="s">
        <v>599</v>
      </c>
    </row>
    <row r="51" spans="4:11" x14ac:dyDescent="0.3">
      <c r="D51" s="28" t="s">
        <v>705</v>
      </c>
      <c r="E51" s="29" t="s">
        <v>32</v>
      </c>
      <c r="K51" t="s">
        <v>600</v>
      </c>
    </row>
    <row r="52" spans="4:11" x14ac:dyDescent="0.3">
      <c r="D52" s="28" t="s">
        <v>706</v>
      </c>
      <c r="E52" s="29" t="s">
        <v>30</v>
      </c>
      <c r="K52" t="s">
        <v>601</v>
      </c>
    </row>
    <row r="53" spans="4:11" x14ac:dyDescent="0.3">
      <c r="D53" s="28" t="s">
        <v>707</v>
      </c>
      <c r="E53" s="29" t="s">
        <v>32</v>
      </c>
      <c r="K53" t="s">
        <v>602</v>
      </c>
    </row>
    <row r="54" spans="4:11" x14ac:dyDescent="0.3">
      <c r="D54" s="28" t="s">
        <v>708</v>
      </c>
      <c r="E54" s="29" t="s">
        <v>30</v>
      </c>
      <c r="K54" t="s">
        <v>605</v>
      </c>
    </row>
    <row r="55" spans="4:11" ht="28.8" x14ac:dyDescent="0.3">
      <c r="D55" s="28" t="s">
        <v>470</v>
      </c>
      <c r="E55" s="29" t="s">
        <v>32</v>
      </c>
      <c r="K55" t="s">
        <v>606</v>
      </c>
    </row>
    <row r="56" spans="4:11" x14ac:dyDescent="0.3">
      <c r="D56" s="28" t="s">
        <v>471</v>
      </c>
      <c r="E56" s="29" t="s">
        <v>31</v>
      </c>
      <c r="K56" t="s">
        <v>607</v>
      </c>
    </row>
    <row r="57" spans="4:11" x14ac:dyDescent="0.3">
      <c r="D57" s="28" t="s">
        <v>472</v>
      </c>
      <c r="E57" s="29" t="s">
        <v>31</v>
      </c>
      <c r="K57" t="s">
        <v>609</v>
      </c>
    </row>
    <row r="58" spans="4:11" x14ac:dyDescent="0.3">
      <c r="D58" s="28" t="s">
        <v>473</v>
      </c>
      <c r="E58" s="29" t="s">
        <v>31</v>
      </c>
      <c r="K58" t="s">
        <v>610</v>
      </c>
    </row>
    <row r="59" spans="4:11" x14ac:dyDescent="0.3">
      <c r="D59" s="28" t="s">
        <v>474</v>
      </c>
      <c r="E59" s="29" t="s">
        <v>30</v>
      </c>
      <c r="K59" t="s">
        <v>611</v>
      </c>
    </row>
    <row r="60" spans="4:11" x14ac:dyDescent="0.3">
      <c r="D60" s="28" t="s">
        <v>475</v>
      </c>
      <c r="E60" s="29" t="s">
        <v>30</v>
      </c>
      <c r="K60" t="s">
        <v>608</v>
      </c>
    </row>
    <row r="61" spans="4:11" x14ac:dyDescent="0.3">
      <c r="D61" s="28" t="s">
        <v>476</v>
      </c>
      <c r="E61" s="29" t="s">
        <v>30</v>
      </c>
      <c r="K61" t="s">
        <v>613</v>
      </c>
    </row>
    <row r="62" spans="4:11" x14ac:dyDescent="0.3">
      <c r="D62" s="28" t="s">
        <v>477</v>
      </c>
      <c r="E62" s="29" t="s">
        <v>30</v>
      </c>
      <c r="K62" t="s">
        <v>614</v>
      </c>
    </row>
    <row r="63" spans="4:11" x14ac:dyDescent="0.3">
      <c r="D63" s="28" t="s">
        <v>478</v>
      </c>
      <c r="E63" s="29" t="s">
        <v>30</v>
      </c>
      <c r="K63" t="s">
        <v>615</v>
      </c>
    </row>
    <row r="64" spans="4:11" x14ac:dyDescent="0.3">
      <c r="D64" s="28" t="s">
        <v>479</v>
      </c>
      <c r="E64" s="29" t="s">
        <v>30</v>
      </c>
      <c r="K64" t="s">
        <v>618</v>
      </c>
    </row>
    <row r="65" spans="4:11" x14ac:dyDescent="0.3">
      <c r="D65" s="28" t="s">
        <v>480</v>
      </c>
      <c r="E65" s="29" t="s">
        <v>31</v>
      </c>
      <c r="K65" t="s">
        <v>619</v>
      </c>
    </row>
    <row r="66" spans="4:11" x14ac:dyDescent="0.3">
      <c r="D66" s="28" t="s">
        <v>481</v>
      </c>
      <c r="E66" s="29" t="s">
        <v>30</v>
      </c>
      <c r="K66" t="s">
        <v>616</v>
      </c>
    </row>
    <row r="67" spans="4:11" x14ac:dyDescent="0.3">
      <c r="D67" s="28" t="s">
        <v>482</v>
      </c>
      <c r="E67" s="29" t="s">
        <v>31</v>
      </c>
      <c r="K67" t="s">
        <v>617</v>
      </c>
    </row>
    <row r="68" spans="4:11" x14ac:dyDescent="0.3">
      <c r="D68" s="28" t="s">
        <v>483</v>
      </c>
      <c r="E68" s="29" t="s">
        <v>31</v>
      </c>
      <c r="K68" t="s">
        <v>621</v>
      </c>
    </row>
    <row r="69" spans="4:11" x14ac:dyDescent="0.3">
      <c r="D69" s="28" t="s">
        <v>484</v>
      </c>
      <c r="E69" s="29" t="s">
        <v>31</v>
      </c>
      <c r="K69" t="s">
        <v>622</v>
      </c>
    </row>
    <row r="70" spans="4:11" x14ac:dyDescent="0.3">
      <c r="D70" s="28" t="s">
        <v>485</v>
      </c>
      <c r="E70" s="29" t="s">
        <v>31</v>
      </c>
      <c r="K70" t="s">
        <v>623</v>
      </c>
    </row>
    <row r="71" spans="4:11" x14ac:dyDescent="0.3">
      <c r="D71" s="28" t="s">
        <v>486</v>
      </c>
      <c r="E71" s="29" t="s">
        <v>31</v>
      </c>
      <c r="K71" t="s">
        <v>624</v>
      </c>
    </row>
    <row r="72" spans="4:11" x14ac:dyDescent="0.3">
      <c r="D72" s="28" t="s">
        <v>718</v>
      </c>
      <c r="E72" s="29" t="s">
        <v>30</v>
      </c>
      <c r="K72" t="s">
        <v>625</v>
      </c>
    </row>
    <row r="73" spans="4:11" x14ac:dyDescent="0.3">
      <c r="D73" s="28" t="s">
        <v>719</v>
      </c>
      <c r="E73" s="29" t="s">
        <v>31</v>
      </c>
      <c r="K73" t="s">
        <v>626</v>
      </c>
    </row>
    <row r="74" spans="4:11" x14ac:dyDescent="0.3">
      <c r="D74" s="28" t="s">
        <v>487</v>
      </c>
      <c r="E74" s="29" t="s">
        <v>31</v>
      </c>
      <c r="K74" t="s">
        <v>627</v>
      </c>
    </row>
    <row r="75" spans="4:11" x14ac:dyDescent="0.3">
      <c r="D75" s="28" t="s">
        <v>489</v>
      </c>
      <c r="E75" s="29" t="s">
        <v>30</v>
      </c>
    </row>
    <row r="76" spans="4:11" x14ac:dyDescent="0.3">
      <c r="D76" s="28" t="s">
        <v>488</v>
      </c>
      <c r="E76" s="29" t="s">
        <v>33</v>
      </c>
    </row>
    <row r="77" spans="4:11" x14ac:dyDescent="0.3">
      <c r="D77" s="28" t="s">
        <v>490</v>
      </c>
      <c r="E77" s="29" t="s">
        <v>30</v>
      </c>
    </row>
    <row r="78" spans="4:11" x14ac:dyDescent="0.3">
      <c r="D78" s="28" t="s">
        <v>491</v>
      </c>
      <c r="E78" s="29" t="s">
        <v>33</v>
      </c>
    </row>
    <row r="79" spans="4:11" x14ac:dyDescent="0.3">
      <c r="D79" s="28" t="s">
        <v>492</v>
      </c>
      <c r="E79" s="29" t="s">
        <v>30</v>
      </c>
    </row>
    <row r="80" spans="4:11" x14ac:dyDescent="0.3">
      <c r="D80" s="28" t="s">
        <v>493</v>
      </c>
      <c r="E80" s="29" t="s">
        <v>33</v>
      </c>
    </row>
    <row r="81" spans="4:5" x14ac:dyDescent="0.3">
      <c r="D81" s="28" t="s">
        <v>494</v>
      </c>
      <c r="E81" s="29" t="s">
        <v>31</v>
      </c>
    </row>
    <row r="82" spans="4:5" x14ac:dyDescent="0.3">
      <c r="D82" s="28" t="s">
        <v>495</v>
      </c>
      <c r="E82" s="29" t="s">
        <v>34</v>
      </c>
    </row>
    <row r="83" spans="4:5" x14ac:dyDescent="0.3">
      <c r="D83" s="28" t="s">
        <v>496</v>
      </c>
      <c r="E83" s="29" t="s">
        <v>30</v>
      </c>
    </row>
    <row r="84" spans="4:5" x14ac:dyDescent="0.3">
      <c r="D84" s="28" t="s">
        <v>497</v>
      </c>
      <c r="E84" s="29" t="s">
        <v>30</v>
      </c>
    </row>
    <row r="85" spans="4:5" x14ac:dyDescent="0.3">
      <c r="D85" s="28" t="s">
        <v>498</v>
      </c>
      <c r="E85" s="29" t="s">
        <v>32</v>
      </c>
    </row>
    <row r="86" spans="4:5" x14ac:dyDescent="0.3">
      <c r="D86" s="28" t="s">
        <v>500</v>
      </c>
      <c r="E86" s="29" t="s">
        <v>34</v>
      </c>
    </row>
    <row r="87" spans="4:5" x14ac:dyDescent="0.3">
      <c r="D87" s="28" t="s">
        <v>501</v>
      </c>
      <c r="E87" s="29" t="s">
        <v>30</v>
      </c>
    </row>
    <row r="88" spans="4:5" x14ac:dyDescent="0.3">
      <c r="D88" s="28" t="s">
        <v>502</v>
      </c>
      <c r="E88" s="29" t="s">
        <v>30</v>
      </c>
    </row>
    <row r="89" spans="4:5" x14ac:dyDescent="0.3">
      <c r="D89" s="28" t="s">
        <v>503</v>
      </c>
      <c r="E89" s="29" t="s">
        <v>30</v>
      </c>
    </row>
    <row r="90" spans="4:5" x14ac:dyDescent="0.3">
      <c r="D90" s="28" t="s">
        <v>504</v>
      </c>
      <c r="E90" s="29" t="s">
        <v>32</v>
      </c>
    </row>
    <row r="91" spans="4:5" x14ac:dyDescent="0.3">
      <c r="D91" s="28" t="s">
        <v>505</v>
      </c>
      <c r="E91" s="29" t="s">
        <v>30</v>
      </c>
    </row>
    <row r="92" spans="4:5" x14ac:dyDescent="0.3">
      <c r="D92" s="28" t="s">
        <v>499</v>
      </c>
      <c r="E92" s="29" t="s">
        <v>30</v>
      </c>
    </row>
    <row r="93" spans="4:5" x14ac:dyDescent="0.3">
      <c r="D93" s="28" t="s">
        <v>506</v>
      </c>
      <c r="E93" s="29" t="s">
        <v>33</v>
      </c>
    </row>
    <row r="94" spans="4:5" x14ac:dyDescent="0.3">
      <c r="D94" s="28" t="s">
        <v>40</v>
      </c>
      <c r="E94" s="29" t="s">
        <v>32</v>
      </c>
    </row>
    <row r="95" spans="4:5" x14ac:dyDescent="0.3">
      <c r="D95" s="28" t="s">
        <v>507</v>
      </c>
      <c r="E95" s="29" t="s">
        <v>32</v>
      </c>
    </row>
    <row r="96" spans="4:5" x14ac:dyDescent="0.3">
      <c r="D96" s="28" t="s">
        <v>522</v>
      </c>
      <c r="E96" s="29" t="s">
        <v>30</v>
      </c>
    </row>
    <row r="97" spans="4:5" x14ac:dyDescent="0.3">
      <c r="D97" s="28" t="s">
        <v>523</v>
      </c>
      <c r="E97" s="29" t="s">
        <v>32</v>
      </c>
    </row>
    <row r="98" spans="4:5" x14ac:dyDescent="0.3">
      <c r="D98" s="28" t="s">
        <v>524</v>
      </c>
      <c r="E98" s="29" t="s">
        <v>31</v>
      </c>
    </row>
    <row r="99" spans="4:5" x14ac:dyDescent="0.3">
      <c r="D99" s="28" t="s">
        <v>508</v>
      </c>
      <c r="E99" s="29" t="s">
        <v>32</v>
      </c>
    </row>
    <row r="100" spans="4:5" x14ac:dyDescent="0.3">
      <c r="D100" s="28" t="s">
        <v>525</v>
      </c>
      <c r="E100" s="29" t="s">
        <v>31</v>
      </c>
    </row>
    <row r="101" spans="4:5" x14ac:dyDescent="0.3">
      <c r="D101" s="28" t="s">
        <v>509</v>
      </c>
      <c r="E101" s="29" t="s">
        <v>32</v>
      </c>
    </row>
    <row r="102" spans="4:5" x14ac:dyDescent="0.3">
      <c r="D102" s="28" t="s">
        <v>526</v>
      </c>
      <c r="E102" s="29" t="s">
        <v>31</v>
      </c>
    </row>
    <row r="103" spans="4:5" x14ac:dyDescent="0.3">
      <c r="D103" s="28" t="s">
        <v>510</v>
      </c>
      <c r="E103" s="29" t="s">
        <v>31</v>
      </c>
    </row>
    <row r="104" spans="4:5" x14ac:dyDescent="0.3">
      <c r="D104" s="28" t="s">
        <v>511</v>
      </c>
      <c r="E104" s="29" t="s">
        <v>31</v>
      </c>
    </row>
    <row r="105" spans="4:5" x14ac:dyDescent="0.3">
      <c r="D105" s="28" t="s">
        <v>512</v>
      </c>
      <c r="E105" s="29" t="s">
        <v>31</v>
      </c>
    </row>
    <row r="106" spans="4:5" x14ac:dyDescent="0.3">
      <c r="D106" s="28" t="s">
        <v>513</v>
      </c>
      <c r="E106" s="29" t="s">
        <v>31</v>
      </c>
    </row>
    <row r="107" spans="4:5" x14ac:dyDescent="0.3">
      <c r="D107" s="28" t="s">
        <v>514</v>
      </c>
      <c r="E107" s="29" t="s">
        <v>31</v>
      </c>
    </row>
    <row r="108" spans="4:5" x14ac:dyDescent="0.3">
      <c r="D108" s="28" t="s">
        <v>515</v>
      </c>
      <c r="E108" s="29" t="s">
        <v>31</v>
      </c>
    </row>
    <row r="109" spans="4:5" x14ac:dyDescent="0.3">
      <c r="D109" s="28" t="s">
        <v>516</v>
      </c>
      <c r="E109" s="29" t="s">
        <v>30</v>
      </c>
    </row>
    <row r="110" spans="4:5" x14ac:dyDescent="0.3">
      <c r="D110" s="28" t="s">
        <v>518</v>
      </c>
      <c r="E110" s="29" t="s">
        <v>31</v>
      </c>
    </row>
    <row r="111" spans="4:5" x14ac:dyDescent="0.3">
      <c r="D111" s="28" t="s">
        <v>519</v>
      </c>
      <c r="E111" s="29" t="s">
        <v>31</v>
      </c>
    </row>
    <row r="112" spans="4:5" x14ac:dyDescent="0.3">
      <c r="D112" s="28" t="s">
        <v>517</v>
      </c>
      <c r="E112" s="29" t="s">
        <v>31</v>
      </c>
    </row>
    <row r="113" spans="4:5" x14ac:dyDescent="0.3">
      <c r="D113" s="28" t="s">
        <v>520</v>
      </c>
      <c r="E113" s="29" t="s">
        <v>31</v>
      </c>
    </row>
    <row r="114" spans="4:5" x14ac:dyDescent="0.3">
      <c r="D114" s="28" t="s">
        <v>521</v>
      </c>
      <c r="E114" s="29" t="s">
        <v>31</v>
      </c>
    </row>
    <row r="115" spans="4:5" x14ac:dyDescent="0.3">
      <c r="D115" s="28" t="s">
        <v>527</v>
      </c>
      <c r="E115" s="29" t="s">
        <v>31</v>
      </c>
    </row>
    <row r="116" spans="4:5" x14ac:dyDescent="0.3">
      <c r="D116" s="28" t="s">
        <v>528</v>
      </c>
      <c r="E116" s="29" t="s">
        <v>31</v>
      </c>
    </row>
    <row r="117" spans="4:5" x14ac:dyDescent="0.3">
      <c r="D117" s="28" t="s">
        <v>41</v>
      </c>
      <c r="E117" s="29" t="s">
        <v>31</v>
      </c>
    </row>
    <row r="118" spans="4:5" x14ac:dyDescent="0.3">
      <c r="D118" s="28" t="s">
        <v>529</v>
      </c>
      <c r="E118" s="29" t="s">
        <v>31</v>
      </c>
    </row>
    <row r="119" spans="4:5" x14ac:dyDescent="0.3">
      <c r="D119" s="28" t="s">
        <v>530</v>
      </c>
      <c r="E119" s="29" t="s">
        <v>32</v>
      </c>
    </row>
    <row r="120" spans="4:5" x14ac:dyDescent="0.3">
      <c r="D120" s="28" t="s">
        <v>531</v>
      </c>
      <c r="E120" s="29" t="s">
        <v>32</v>
      </c>
    </row>
    <row r="121" spans="4:5" x14ac:dyDescent="0.3">
      <c r="D121" s="28" t="s">
        <v>533</v>
      </c>
      <c r="E121" s="29" t="s">
        <v>33</v>
      </c>
    </row>
    <row r="122" spans="4:5" x14ac:dyDescent="0.3">
      <c r="D122" s="28" t="s">
        <v>532</v>
      </c>
      <c r="E122" s="29" t="s">
        <v>31</v>
      </c>
    </row>
    <row r="123" spans="4:5" x14ac:dyDescent="0.3">
      <c r="D123" s="28" t="s">
        <v>534</v>
      </c>
      <c r="E123" s="29" t="s">
        <v>32</v>
      </c>
    </row>
    <row r="124" spans="4:5" x14ac:dyDescent="0.3">
      <c r="D124" s="28" t="s">
        <v>535</v>
      </c>
      <c r="E124" s="29" t="s">
        <v>31</v>
      </c>
    </row>
    <row r="125" spans="4:5" ht="17.25" customHeight="1" x14ac:dyDescent="0.3">
      <c r="D125" s="28" t="s">
        <v>537</v>
      </c>
      <c r="E125" s="29" t="s">
        <v>30</v>
      </c>
    </row>
    <row r="126" spans="4:5" ht="20.25" customHeight="1" x14ac:dyDescent="0.3">
      <c r="D126" s="28" t="s">
        <v>536</v>
      </c>
      <c r="E126" s="29" t="s">
        <v>31</v>
      </c>
    </row>
    <row r="127" spans="4:5" x14ac:dyDescent="0.3">
      <c r="D127" s="28" t="s">
        <v>538</v>
      </c>
      <c r="E127" s="29" t="s">
        <v>31</v>
      </c>
    </row>
    <row r="128" spans="4:5" x14ac:dyDescent="0.3">
      <c r="D128" s="28" t="s">
        <v>539</v>
      </c>
      <c r="E128" s="29" t="s">
        <v>31</v>
      </c>
    </row>
    <row r="129" spans="4:5" x14ac:dyDescent="0.3">
      <c r="D129" s="28" t="s">
        <v>540</v>
      </c>
      <c r="E129" s="29" t="s">
        <v>31</v>
      </c>
    </row>
    <row r="130" spans="4:5" x14ac:dyDescent="0.3">
      <c r="D130" s="28" t="s">
        <v>541</v>
      </c>
      <c r="E130" s="29" t="s">
        <v>31</v>
      </c>
    </row>
    <row r="131" spans="4:5" x14ac:dyDescent="0.3">
      <c r="D131" s="28" t="s">
        <v>542</v>
      </c>
      <c r="E131" s="29" t="s">
        <v>32</v>
      </c>
    </row>
    <row r="132" spans="4:5" x14ac:dyDescent="0.3">
      <c r="D132" s="28" t="s">
        <v>543</v>
      </c>
      <c r="E132" s="29" t="s">
        <v>32</v>
      </c>
    </row>
    <row r="133" spans="4:5" x14ac:dyDescent="0.3">
      <c r="D133" s="28" t="s">
        <v>544</v>
      </c>
      <c r="E133" s="29" t="s">
        <v>30</v>
      </c>
    </row>
    <row r="134" spans="4:5" x14ac:dyDescent="0.3">
      <c r="D134" s="28" t="s">
        <v>545</v>
      </c>
      <c r="E134" s="29" t="s">
        <v>31</v>
      </c>
    </row>
    <row r="135" spans="4:5" x14ac:dyDescent="0.3">
      <c r="D135" s="28" t="s">
        <v>546</v>
      </c>
      <c r="E135" s="29" t="s">
        <v>32</v>
      </c>
    </row>
    <row r="136" spans="4:5" x14ac:dyDescent="0.3">
      <c r="D136" s="28" t="s">
        <v>547</v>
      </c>
      <c r="E136" s="29" t="s">
        <v>32</v>
      </c>
    </row>
    <row r="137" spans="4:5" x14ac:dyDescent="0.3">
      <c r="D137" s="28" t="s">
        <v>548</v>
      </c>
      <c r="E137" s="29" t="s">
        <v>32</v>
      </c>
    </row>
    <row r="138" spans="4:5" x14ac:dyDescent="0.3">
      <c r="D138" s="28" t="s">
        <v>549</v>
      </c>
      <c r="E138" s="29" t="s">
        <v>32</v>
      </c>
    </row>
    <row r="139" spans="4:5" x14ac:dyDescent="0.3">
      <c r="D139" s="28" t="s">
        <v>550</v>
      </c>
      <c r="E139" s="29" t="s">
        <v>34</v>
      </c>
    </row>
    <row r="140" spans="4:5" x14ac:dyDescent="0.3">
      <c r="D140" s="27"/>
    </row>
  </sheetData>
  <sheetProtection algorithmName="SHA-512" hashValue="LMPWUfoNklozi13mGmnpsmqjMTJjteq2XFD1rSA167pM9iZbOY13fzLaBIKZVLlj+Wcu44xOkBChotYC088Ztg==" saltValue="nOCvw61qMogwKjJiqkr3qQ==" spinCount="100000" sheet="1" objects="1" scenarios="1"/>
  <mergeCells count="1">
    <mergeCell ref="V12:V1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58C3D-934B-45EF-A9AE-2C6D2FE5A91A}">
  <dimension ref="B2:N47"/>
  <sheetViews>
    <sheetView tabSelected="1" zoomScale="90" zoomScaleNormal="90" workbookViewId="0">
      <selection activeCell="I11" sqref="I11"/>
    </sheetView>
  </sheetViews>
  <sheetFormatPr defaultRowHeight="14.4" x14ac:dyDescent="0.3"/>
  <cols>
    <col min="4" max="4" width="10.21875" customWidth="1"/>
    <col min="6" max="6" width="10.44140625" customWidth="1"/>
    <col min="7" max="7" width="15.21875" customWidth="1"/>
    <col min="8" max="8" width="14.44140625" customWidth="1"/>
    <col min="9" max="9" width="13.44140625" customWidth="1"/>
    <col min="10" max="10" width="14" customWidth="1"/>
    <col min="11" max="11" width="16.77734375" style="307" customWidth="1"/>
  </cols>
  <sheetData>
    <row r="2" spans="2:14" ht="15" thickBot="1" x14ac:dyDescent="0.35"/>
    <row r="3" spans="2:14" x14ac:dyDescent="0.3">
      <c r="B3" s="383" t="s">
        <v>1</v>
      </c>
      <c r="C3" s="773" t="s">
        <v>788</v>
      </c>
      <c r="D3" s="773"/>
      <c r="E3" s="384"/>
      <c r="F3" s="2"/>
      <c r="G3" s="2"/>
      <c r="H3" s="2"/>
      <c r="I3" s="755" t="s">
        <v>789</v>
      </c>
      <c r="J3" s="756"/>
      <c r="K3" s="756"/>
      <c r="L3" s="756"/>
      <c r="M3" s="756"/>
      <c r="N3" s="757"/>
    </row>
    <row r="4" spans="2:14" ht="15" customHeight="1" x14ac:dyDescent="0.3">
      <c r="B4" s="4"/>
      <c r="C4" s="385"/>
      <c r="D4" s="390"/>
      <c r="E4" s="399"/>
      <c r="F4" s="399"/>
      <c r="G4" s="399"/>
      <c r="H4" s="399"/>
      <c r="I4" s="385"/>
      <c r="J4" s="385"/>
      <c r="K4" s="386"/>
      <c r="L4" s="385"/>
      <c r="M4" s="385"/>
      <c r="N4" s="6"/>
    </row>
    <row r="5" spans="2:14" ht="15" customHeight="1" x14ac:dyDescent="0.3">
      <c r="B5" s="4"/>
      <c r="C5" s="387"/>
      <c r="D5" s="399"/>
      <c r="E5" s="767" t="s">
        <v>0</v>
      </c>
      <c r="F5" s="767"/>
      <c r="G5" s="767"/>
      <c r="H5" s="767"/>
      <c r="I5" s="767"/>
      <c r="J5" s="385"/>
      <c r="K5" s="386"/>
      <c r="L5" s="385"/>
      <c r="M5" s="385"/>
      <c r="N5" s="6"/>
    </row>
    <row r="6" spans="2:14" ht="15" customHeight="1" x14ac:dyDescent="0.3">
      <c r="B6" s="4"/>
      <c r="C6" s="387"/>
      <c r="D6" s="399"/>
      <c r="E6" s="767"/>
      <c r="F6" s="767"/>
      <c r="G6" s="767"/>
      <c r="H6" s="767"/>
      <c r="I6" s="767"/>
      <c r="J6" s="385"/>
      <c r="K6" s="386"/>
      <c r="L6" s="385"/>
      <c r="M6" s="385"/>
      <c r="N6" s="6"/>
    </row>
    <row r="7" spans="2:14" ht="15" customHeight="1" x14ac:dyDescent="0.3">
      <c r="B7" s="4"/>
      <c r="C7" s="387"/>
      <c r="D7" s="399"/>
      <c r="E7" s="767"/>
      <c r="F7" s="767"/>
      <c r="G7" s="767"/>
      <c r="H7" s="767"/>
      <c r="I7" s="767"/>
      <c r="J7" s="385"/>
      <c r="K7" s="386"/>
      <c r="L7" s="385"/>
      <c r="M7" s="385"/>
      <c r="N7" s="6"/>
    </row>
    <row r="8" spans="2:14" ht="18" customHeight="1" x14ac:dyDescent="0.4">
      <c r="B8" s="4"/>
      <c r="C8" s="385"/>
      <c r="D8" s="767"/>
      <c r="E8" s="767"/>
      <c r="F8" s="767"/>
      <c r="G8" s="767"/>
      <c r="H8" s="767"/>
      <c r="I8" s="767"/>
      <c r="J8" s="385"/>
      <c r="K8" s="386"/>
      <c r="L8" s="388"/>
      <c r="M8" s="389"/>
      <c r="N8" s="381"/>
    </row>
    <row r="9" spans="2:14" ht="18" customHeight="1" x14ac:dyDescent="0.4">
      <c r="B9" s="4"/>
      <c r="C9" s="385"/>
      <c r="D9" s="696"/>
      <c r="E9" s="696"/>
      <c r="F9" s="696"/>
      <c r="G9" s="696"/>
      <c r="H9" s="696"/>
      <c r="I9" s="696"/>
      <c r="J9" s="385"/>
      <c r="K9" s="386"/>
      <c r="L9" s="388"/>
      <c r="M9" s="389"/>
      <c r="N9" s="381"/>
    </row>
    <row r="10" spans="2:14" ht="25.5" customHeight="1" x14ac:dyDescent="0.4">
      <c r="B10" s="4"/>
      <c r="C10" s="768" t="s">
        <v>752</v>
      </c>
      <c r="D10" s="769"/>
      <c r="E10" s="774"/>
      <c r="F10" s="775"/>
      <c r="G10" s="776"/>
      <c r="H10" s="390"/>
      <c r="I10" s="770" t="s">
        <v>794</v>
      </c>
      <c r="J10" s="771"/>
      <c r="K10" s="772"/>
      <c r="L10" s="772"/>
      <c r="M10" s="389"/>
      <c r="N10" s="381"/>
    </row>
    <row r="11" spans="2:14" x14ac:dyDescent="0.3">
      <c r="B11" s="4"/>
      <c r="C11" s="385"/>
      <c r="D11" s="385"/>
      <c r="E11" s="385"/>
      <c r="F11" s="385"/>
      <c r="G11" s="385"/>
      <c r="H11" s="385"/>
      <c r="I11" s="385"/>
      <c r="J11" s="385"/>
      <c r="K11" s="386"/>
      <c r="L11" s="385"/>
      <c r="M11" s="385"/>
      <c r="N11" s="6"/>
    </row>
    <row r="12" spans="2:14" ht="29.25" customHeight="1" x14ac:dyDescent="0.3">
      <c r="B12" s="4"/>
      <c r="C12" s="777" t="s">
        <v>760</v>
      </c>
      <c r="D12" s="777"/>
      <c r="E12" s="778"/>
      <c r="F12" s="778"/>
      <c r="G12" s="778"/>
      <c r="H12" s="385"/>
      <c r="I12" s="385"/>
      <c r="J12" s="385"/>
      <c r="K12" s="386"/>
      <c r="L12" s="385"/>
      <c r="M12" s="385"/>
      <c r="N12" s="6"/>
    </row>
    <row r="13" spans="2:14" ht="23.25" customHeight="1" x14ac:dyDescent="0.3">
      <c r="B13" s="4"/>
      <c r="C13" s="385"/>
      <c r="D13" s="391"/>
      <c r="E13" s="391"/>
      <c r="F13" s="385"/>
      <c r="G13" s="385"/>
      <c r="H13" s="385"/>
      <c r="I13" s="385"/>
      <c r="J13" s="385"/>
      <c r="K13" s="386"/>
      <c r="L13" s="385"/>
      <c r="M13" s="385"/>
      <c r="N13" s="6"/>
    </row>
    <row r="14" spans="2:14" ht="33.6" customHeight="1" x14ac:dyDescent="0.3">
      <c r="B14" s="4"/>
      <c r="C14" s="758" t="s">
        <v>730</v>
      </c>
      <c r="D14" s="759"/>
      <c r="E14" s="759"/>
      <c r="F14" s="759"/>
      <c r="G14" s="759"/>
      <c r="H14" s="759"/>
      <c r="I14" s="759"/>
      <c r="J14" s="759"/>
      <c r="K14" s="759"/>
      <c r="L14" s="759"/>
      <c r="M14" s="760"/>
      <c r="N14" s="6"/>
    </row>
    <row r="15" spans="2:14" ht="25.2" customHeight="1" x14ac:dyDescent="0.3">
      <c r="B15" s="4"/>
      <c r="C15" s="761"/>
      <c r="D15" s="762"/>
      <c r="E15" s="762"/>
      <c r="F15" s="762"/>
      <c r="G15" s="762"/>
      <c r="H15" s="762"/>
      <c r="I15" s="762"/>
      <c r="J15" s="762"/>
      <c r="K15" s="762"/>
      <c r="L15" s="762"/>
      <c r="M15" s="763"/>
      <c r="N15" s="6"/>
    </row>
    <row r="16" spans="2:14" ht="25.2" customHeight="1" x14ac:dyDescent="0.3">
      <c r="B16" s="4"/>
      <c r="C16" s="761"/>
      <c r="D16" s="762"/>
      <c r="E16" s="762"/>
      <c r="F16" s="762"/>
      <c r="G16" s="762"/>
      <c r="H16" s="762"/>
      <c r="I16" s="762"/>
      <c r="J16" s="762"/>
      <c r="K16" s="762"/>
      <c r="L16" s="762"/>
      <c r="M16" s="763"/>
      <c r="N16" s="6"/>
    </row>
    <row r="17" spans="2:14" ht="25.2" customHeight="1" x14ac:dyDescent="0.3">
      <c r="B17" s="4"/>
      <c r="C17" s="761"/>
      <c r="D17" s="762"/>
      <c r="E17" s="762"/>
      <c r="F17" s="762"/>
      <c r="G17" s="762"/>
      <c r="H17" s="762"/>
      <c r="I17" s="762"/>
      <c r="J17" s="762"/>
      <c r="K17" s="762"/>
      <c r="L17" s="762"/>
      <c r="M17" s="763"/>
      <c r="N17" s="6"/>
    </row>
    <row r="18" spans="2:14" ht="48.75" customHeight="1" x14ac:dyDescent="0.3">
      <c r="B18" s="4"/>
      <c r="C18" s="761"/>
      <c r="D18" s="762"/>
      <c r="E18" s="762"/>
      <c r="F18" s="762"/>
      <c r="G18" s="762"/>
      <c r="H18" s="762"/>
      <c r="I18" s="762"/>
      <c r="J18" s="762"/>
      <c r="K18" s="762"/>
      <c r="L18" s="762"/>
      <c r="M18" s="763"/>
      <c r="N18" s="6"/>
    </row>
    <row r="19" spans="2:14" ht="17.25" customHeight="1" x14ac:dyDescent="0.3">
      <c r="B19" s="4"/>
      <c r="C19" s="764"/>
      <c r="D19" s="765"/>
      <c r="E19" s="765"/>
      <c r="F19" s="765"/>
      <c r="G19" s="765"/>
      <c r="H19" s="765"/>
      <c r="I19" s="765"/>
      <c r="J19" s="765"/>
      <c r="K19" s="765"/>
      <c r="L19" s="765"/>
      <c r="M19" s="766"/>
      <c r="N19" s="6"/>
    </row>
    <row r="20" spans="2:14" ht="15" customHeight="1" x14ac:dyDescent="0.3">
      <c r="B20" s="4"/>
      <c r="C20" s="392"/>
      <c r="D20" s="392"/>
      <c r="E20" s="392"/>
      <c r="F20" s="392"/>
      <c r="G20" s="392"/>
      <c r="H20" s="392"/>
      <c r="I20" s="392"/>
      <c r="J20" s="392"/>
      <c r="K20" s="392"/>
      <c r="L20" s="392"/>
      <c r="M20" s="392"/>
      <c r="N20" s="6"/>
    </row>
    <row r="21" spans="2:14" ht="24.6" customHeight="1" x14ac:dyDescent="0.3">
      <c r="B21" s="4"/>
      <c r="C21" s="491"/>
      <c r="D21" s="491"/>
      <c r="E21" s="491"/>
      <c r="F21" s="491"/>
      <c r="G21" s="491"/>
      <c r="H21" s="491"/>
      <c r="I21" s="697"/>
      <c r="J21" s="697"/>
      <c r="K21" s="393"/>
      <c r="L21" s="697"/>
      <c r="M21" s="697"/>
      <c r="N21" s="6"/>
    </row>
    <row r="22" spans="2:14" ht="30" customHeight="1" x14ac:dyDescent="0.3">
      <c r="B22" s="4"/>
      <c r="C22" s="754" t="s">
        <v>19</v>
      </c>
      <c r="D22" s="754"/>
      <c r="E22" s="498" t="s">
        <v>20</v>
      </c>
      <c r="F22" s="499" t="s">
        <v>21</v>
      </c>
      <c r="G22" s="500" t="s">
        <v>757</v>
      </c>
      <c r="H22" s="501" t="s">
        <v>22</v>
      </c>
      <c r="I22" s="502" t="s">
        <v>639</v>
      </c>
      <c r="J22" s="503" t="s">
        <v>676</v>
      </c>
      <c r="K22" s="504" t="s">
        <v>681</v>
      </c>
      <c r="L22" s="697"/>
      <c r="M22" s="697"/>
      <c r="N22" s="6"/>
    </row>
    <row r="23" spans="2:14" ht="28.5" customHeight="1" x14ac:dyDescent="0.3">
      <c r="B23" s="4"/>
      <c r="C23" s="491"/>
      <c r="D23" s="497"/>
      <c r="E23" s="496"/>
      <c r="F23" s="496"/>
      <c r="G23" s="496"/>
      <c r="H23" s="496"/>
      <c r="I23" s="496"/>
      <c r="J23" s="496"/>
      <c r="K23" s="496"/>
      <c r="L23" s="697"/>
      <c r="M23" s="697"/>
      <c r="N23" s="6"/>
    </row>
    <row r="24" spans="2:14" ht="24.75" customHeight="1" x14ac:dyDescent="0.3">
      <c r="B24" s="4"/>
      <c r="C24" s="750" t="s">
        <v>23</v>
      </c>
      <c r="D24" s="751"/>
      <c r="E24" s="751"/>
      <c r="F24" s="751"/>
      <c r="G24" s="751"/>
      <c r="H24" s="505"/>
      <c r="I24" s="496"/>
      <c r="J24" s="496"/>
      <c r="K24" s="496"/>
      <c r="L24" s="697"/>
      <c r="M24" s="697"/>
      <c r="N24" s="6"/>
    </row>
    <row r="25" spans="2:14" ht="26.1" customHeight="1" x14ac:dyDescent="0.3">
      <c r="B25" s="4"/>
      <c r="C25" s="752"/>
      <c r="D25" s="753"/>
      <c r="E25" s="753"/>
      <c r="F25" s="753"/>
      <c r="G25" s="753"/>
      <c r="H25" s="506" t="s">
        <v>729</v>
      </c>
      <c r="I25" s="496"/>
      <c r="J25" s="496"/>
      <c r="K25" s="496"/>
      <c r="L25" s="697"/>
      <c r="M25" s="697"/>
      <c r="N25" s="6"/>
    </row>
    <row r="26" spans="2:14" ht="27" customHeight="1" x14ac:dyDescent="0.3">
      <c r="B26" s="4"/>
      <c r="C26" s="385"/>
      <c r="D26" s="385"/>
      <c r="E26" s="385"/>
      <c r="F26" s="385"/>
      <c r="G26" s="385"/>
      <c r="H26" s="390"/>
      <c r="I26" s="390"/>
      <c r="J26" s="390"/>
      <c r="K26" s="392"/>
      <c r="L26" s="392"/>
      <c r="M26" s="392"/>
      <c r="N26" s="6"/>
    </row>
    <row r="27" spans="2:14" ht="23.25" customHeight="1" x14ac:dyDescent="0.3">
      <c r="B27" s="7">
        <v>1</v>
      </c>
      <c r="C27" s="394" t="s">
        <v>2</v>
      </c>
      <c r="D27" s="385"/>
      <c r="E27" s="385"/>
      <c r="F27" s="394"/>
      <c r="G27" s="385"/>
      <c r="H27" s="394">
        <v>7</v>
      </c>
      <c r="I27" s="394" t="s">
        <v>14</v>
      </c>
      <c r="J27" s="394"/>
      <c r="K27" s="392"/>
      <c r="L27" s="392"/>
      <c r="M27" s="392"/>
      <c r="N27" s="6"/>
    </row>
    <row r="28" spans="2:14" ht="22.5" customHeight="1" x14ac:dyDescent="0.3">
      <c r="B28" s="4"/>
      <c r="C28" s="746" t="s">
        <v>4</v>
      </c>
      <c r="D28" s="746"/>
      <c r="E28" s="746"/>
      <c r="F28" s="746"/>
      <c r="G28" s="746"/>
      <c r="H28" s="394"/>
      <c r="I28" s="702" t="s">
        <v>740</v>
      </c>
      <c r="J28" s="702"/>
      <c r="K28" s="702"/>
      <c r="L28" s="402"/>
      <c r="M28" s="402"/>
      <c r="N28" s="6"/>
    </row>
    <row r="29" spans="2:14" ht="23.25" customHeight="1" x14ac:dyDescent="0.3">
      <c r="B29" s="4"/>
      <c r="C29" s="746"/>
      <c r="D29" s="746"/>
      <c r="E29" s="746"/>
      <c r="F29" s="746"/>
      <c r="G29" s="746"/>
      <c r="H29" s="394">
        <v>8</v>
      </c>
      <c r="I29" s="643" t="s">
        <v>15</v>
      </c>
      <c r="J29" s="643"/>
      <c r="K29" s="643"/>
      <c r="L29" s="385"/>
      <c r="M29" s="385"/>
      <c r="N29" s="6"/>
    </row>
    <row r="30" spans="2:14" ht="21" customHeight="1" x14ac:dyDescent="0.3">
      <c r="B30" s="4"/>
      <c r="C30" s="746"/>
      <c r="D30" s="746"/>
      <c r="E30" s="746"/>
      <c r="F30" s="746"/>
      <c r="G30" s="746"/>
      <c r="H30" s="390"/>
      <c r="I30" s="748" t="s">
        <v>741</v>
      </c>
      <c r="J30" s="748"/>
      <c r="K30" s="748"/>
      <c r="L30" s="748"/>
      <c r="M30" s="385"/>
      <c r="N30" s="6"/>
    </row>
    <row r="31" spans="2:14" ht="37.5" customHeight="1" x14ac:dyDescent="0.3">
      <c r="B31" s="406">
        <v>2</v>
      </c>
      <c r="C31" s="743" t="s">
        <v>7</v>
      </c>
      <c r="D31" s="743"/>
      <c r="E31" s="743"/>
      <c r="F31" s="743"/>
      <c r="G31" s="641"/>
      <c r="H31" s="390"/>
      <c r="I31" s="748"/>
      <c r="J31" s="748"/>
      <c r="K31" s="748"/>
      <c r="L31" s="748"/>
      <c r="M31" s="385"/>
      <c r="N31" s="6"/>
    </row>
    <row r="32" spans="2:14" ht="25.5" customHeight="1" x14ac:dyDescent="0.3">
      <c r="B32" s="407"/>
      <c r="C32" s="746" t="s">
        <v>736</v>
      </c>
      <c r="D32" s="746"/>
      <c r="E32" s="746"/>
      <c r="F32" s="746"/>
      <c r="G32" s="746"/>
      <c r="H32" s="645">
        <v>9</v>
      </c>
      <c r="I32" s="644" t="s">
        <v>3</v>
      </c>
      <c r="J32" s="390"/>
      <c r="K32" s="703"/>
      <c r="L32" s="385"/>
      <c r="M32" s="385"/>
      <c r="N32" s="6"/>
    </row>
    <row r="33" spans="2:14" ht="28.5" customHeight="1" x14ac:dyDescent="0.3">
      <c r="B33" s="4"/>
      <c r="C33" s="746"/>
      <c r="D33" s="746"/>
      <c r="E33" s="746"/>
      <c r="F33" s="746"/>
      <c r="G33" s="746"/>
      <c r="H33" s="385"/>
      <c r="I33" s="745" t="s">
        <v>720</v>
      </c>
      <c r="J33" s="745"/>
      <c r="K33" s="745"/>
      <c r="L33" s="395"/>
      <c r="M33" s="395"/>
      <c r="N33" s="6"/>
    </row>
    <row r="34" spans="2:14" ht="30.75" customHeight="1" x14ac:dyDescent="0.3">
      <c r="B34" s="7">
        <v>3</v>
      </c>
      <c r="C34" s="744" t="s">
        <v>9</v>
      </c>
      <c r="D34" s="744"/>
      <c r="E34" s="744"/>
      <c r="F34" s="744"/>
      <c r="G34" s="744"/>
      <c r="H34" s="394">
        <v>10</v>
      </c>
      <c r="I34" s="394" t="s">
        <v>5</v>
      </c>
      <c r="J34" s="394"/>
      <c r="K34" s="401"/>
      <c r="L34" s="401"/>
      <c r="M34" s="401"/>
      <c r="N34" s="6"/>
    </row>
    <row r="35" spans="2:14" ht="33.75" customHeight="1" x14ac:dyDescent="0.3">
      <c r="B35" s="4"/>
      <c r="C35" s="746" t="s">
        <v>744</v>
      </c>
      <c r="D35" s="746"/>
      <c r="E35" s="746"/>
      <c r="F35" s="746"/>
      <c r="G35" s="396"/>
      <c r="H35" s="394"/>
      <c r="I35" s="748" t="s">
        <v>742</v>
      </c>
      <c r="J35" s="748"/>
      <c r="K35" s="748"/>
      <c r="L35" s="748"/>
      <c r="M35" s="401"/>
      <c r="N35" s="6"/>
    </row>
    <row r="36" spans="2:14" ht="19.5" customHeight="1" x14ac:dyDescent="0.3">
      <c r="B36" s="4"/>
      <c r="C36" s="746"/>
      <c r="D36" s="746"/>
      <c r="E36" s="746"/>
      <c r="F36" s="746"/>
      <c r="G36" s="396"/>
      <c r="H36" s="394">
        <v>11</v>
      </c>
      <c r="I36" s="394" t="s">
        <v>6</v>
      </c>
      <c r="J36" s="394"/>
      <c r="K36" s="398"/>
      <c r="L36" s="397"/>
      <c r="M36" s="397"/>
      <c r="N36" s="6"/>
    </row>
    <row r="37" spans="2:14" ht="27" customHeight="1" x14ac:dyDescent="0.3">
      <c r="B37" s="7">
        <v>4</v>
      </c>
      <c r="C37" s="744" t="s">
        <v>10</v>
      </c>
      <c r="D37" s="744"/>
      <c r="E37" s="744"/>
      <c r="F37" s="744"/>
      <c r="G37" s="744"/>
      <c r="H37" s="390"/>
      <c r="I37" s="749" t="s">
        <v>743</v>
      </c>
      <c r="J37" s="749"/>
      <c r="K37" s="749"/>
      <c r="L37" s="749"/>
      <c r="M37" s="749"/>
      <c r="N37" s="6"/>
    </row>
    <row r="38" spans="2:14" ht="28.5" customHeight="1" x14ac:dyDescent="0.3">
      <c r="B38" s="4"/>
      <c r="C38" s="747" t="s">
        <v>737</v>
      </c>
      <c r="D38" s="747"/>
      <c r="E38" s="747"/>
      <c r="F38" s="747"/>
      <c r="G38" s="747"/>
      <c r="H38" s="394">
        <v>12</v>
      </c>
      <c r="I38" s="394" t="s">
        <v>8</v>
      </c>
      <c r="J38" s="401"/>
      <c r="K38" s="404"/>
      <c r="L38" s="401"/>
      <c r="M38" s="401"/>
      <c r="N38" s="6"/>
    </row>
    <row r="39" spans="2:14" ht="27.75" customHeight="1" x14ac:dyDescent="0.3">
      <c r="B39" s="7">
        <v>5</v>
      </c>
      <c r="C39" s="394" t="s">
        <v>12</v>
      </c>
      <c r="D39" s="394"/>
      <c r="E39" s="394"/>
      <c r="F39" s="385"/>
      <c r="G39" s="385"/>
      <c r="H39" s="385"/>
      <c r="I39" s="745" t="s">
        <v>721</v>
      </c>
      <c r="J39" s="745"/>
      <c r="K39" s="745"/>
      <c r="L39" s="401"/>
      <c r="M39" s="401"/>
      <c r="N39" s="6"/>
    </row>
    <row r="40" spans="2:14" ht="23.25" customHeight="1" x14ac:dyDescent="0.3">
      <c r="B40" s="4"/>
      <c r="C40" s="747" t="s">
        <v>738</v>
      </c>
      <c r="D40" s="747"/>
      <c r="E40" s="747"/>
      <c r="F40" s="747"/>
      <c r="G40" s="747"/>
      <c r="H40" s="385"/>
      <c r="I40" s="401"/>
      <c r="J40" s="401"/>
      <c r="K40" s="401"/>
      <c r="L40" s="401"/>
      <c r="M40" s="401"/>
      <c r="N40" s="400"/>
    </row>
    <row r="41" spans="2:14" ht="27" customHeight="1" x14ac:dyDescent="0.3">
      <c r="B41" s="7">
        <v>6</v>
      </c>
      <c r="C41" s="394" t="s">
        <v>13</v>
      </c>
      <c r="D41" s="394"/>
      <c r="E41" s="394"/>
      <c r="F41" s="394"/>
      <c r="G41" s="385"/>
      <c r="H41" s="394">
        <v>13</v>
      </c>
      <c r="I41" s="394" t="s">
        <v>11</v>
      </c>
      <c r="J41" s="401"/>
      <c r="K41" s="404"/>
      <c r="L41" s="401"/>
      <c r="M41" s="401"/>
      <c r="N41" s="6"/>
    </row>
    <row r="42" spans="2:14" ht="26.25" customHeight="1" x14ac:dyDescent="0.3">
      <c r="B42" s="4"/>
      <c r="C42" s="747" t="s">
        <v>739</v>
      </c>
      <c r="D42" s="747"/>
      <c r="E42" s="747"/>
      <c r="F42" s="747"/>
      <c r="G42" s="747"/>
      <c r="H42" s="385"/>
      <c r="I42" s="745" t="s">
        <v>722</v>
      </c>
      <c r="J42" s="745"/>
      <c r="K42" s="745"/>
      <c r="L42" s="405"/>
      <c r="M42" s="405"/>
      <c r="N42" s="6"/>
    </row>
    <row r="43" spans="2:14" x14ac:dyDescent="0.3">
      <c r="B43" s="407"/>
      <c r="C43" s="390"/>
      <c r="D43" s="390"/>
      <c r="E43" s="394"/>
      <c r="F43" s="394"/>
      <c r="G43" s="385"/>
      <c r="H43" s="385"/>
      <c r="I43" s="405"/>
      <c r="J43" s="405"/>
      <c r="K43" s="405"/>
      <c r="L43" s="405"/>
      <c r="M43" s="405"/>
      <c r="N43" s="6"/>
    </row>
    <row r="44" spans="2:14" x14ac:dyDescent="0.3">
      <c r="B44" s="4"/>
      <c r="C44" s="385"/>
      <c r="D44" s="385"/>
      <c r="E44" s="385"/>
      <c r="F44" s="385"/>
      <c r="G44" s="385"/>
      <c r="H44" s="385"/>
      <c r="I44" s="405"/>
      <c r="J44" s="405"/>
      <c r="K44" s="405"/>
      <c r="L44" s="405"/>
      <c r="M44" s="405"/>
      <c r="N44" s="6"/>
    </row>
    <row r="45" spans="2:14" x14ac:dyDescent="0.3">
      <c r="B45" s="4"/>
      <c r="C45" s="385"/>
      <c r="D45" s="385"/>
      <c r="E45" s="385"/>
      <c r="F45" s="385"/>
      <c r="G45" s="385"/>
      <c r="H45" s="385"/>
      <c r="I45" s="405"/>
      <c r="J45" s="405"/>
      <c r="K45" s="405"/>
      <c r="L45" s="405"/>
      <c r="M45" s="405"/>
      <c r="N45" s="6"/>
    </row>
    <row r="46" spans="2:14" x14ac:dyDescent="0.3">
      <c r="B46" s="7"/>
      <c r="C46" s="394"/>
      <c r="D46" s="385"/>
      <c r="E46" s="385"/>
      <c r="F46" s="385"/>
      <c r="G46" s="385"/>
      <c r="H46" s="385"/>
      <c r="I46" s="405"/>
      <c r="J46" s="405"/>
      <c r="K46" s="386"/>
      <c r="L46" s="385"/>
      <c r="M46" s="385"/>
      <c r="N46" s="6"/>
    </row>
    <row r="47" spans="2:14" ht="15" thickBot="1" x14ac:dyDescent="0.35">
      <c r="B47" s="8"/>
      <c r="C47" s="9"/>
      <c r="D47" s="9"/>
      <c r="E47" s="9"/>
      <c r="F47" s="9"/>
      <c r="G47" s="9"/>
      <c r="H47" s="9"/>
      <c r="I47" s="9"/>
      <c r="J47" s="9"/>
      <c r="K47" s="308"/>
      <c r="L47" s="9"/>
      <c r="M47" s="9"/>
      <c r="N47" s="10"/>
    </row>
  </sheetData>
  <sheetProtection algorithmName="SHA-512" hashValue="Cxqs8h5pqRtoJqO+N5qN3EV7xmYGanPkqYfRo/N9oXcYj+SWg7Xfa7VLUcXEOAM1f10dHJLJVdND9LAeG5sE0A==" saltValue="NcfAsqiVR38yvZYN4Ujhhw==" spinCount="100000" sheet="1" objects="1" scenarios="1"/>
  <mergeCells count="28">
    <mergeCell ref="C24:G25"/>
    <mergeCell ref="C22:D22"/>
    <mergeCell ref="C28:G30"/>
    <mergeCell ref="I3:N3"/>
    <mergeCell ref="C14:M19"/>
    <mergeCell ref="D8:I8"/>
    <mergeCell ref="C10:D10"/>
    <mergeCell ref="I10:J10"/>
    <mergeCell ref="K10:L10"/>
    <mergeCell ref="E5:I7"/>
    <mergeCell ref="C3:D3"/>
    <mergeCell ref="E10:G10"/>
    <mergeCell ref="C12:D12"/>
    <mergeCell ref="E12:G12"/>
    <mergeCell ref="C31:F31"/>
    <mergeCell ref="C34:G34"/>
    <mergeCell ref="C37:G37"/>
    <mergeCell ref="I42:K42"/>
    <mergeCell ref="C35:F36"/>
    <mergeCell ref="I33:K33"/>
    <mergeCell ref="I39:K39"/>
    <mergeCell ref="C32:G33"/>
    <mergeCell ref="C38:G38"/>
    <mergeCell ref="C40:G40"/>
    <mergeCell ref="C42:G42"/>
    <mergeCell ref="I30:L31"/>
    <mergeCell ref="I35:L35"/>
    <mergeCell ref="I37:M37"/>
  </mergeCells>
  <conditionalFormatting sqref="H24">
    <cfRule type="cellIs" dxfId="66" priority="1" operator="equal">
      <formula>"No"</formula>
    </cfRule>
    <cfRule type="cellIs" dxfId="65" priority="2" operator="equal">
      <formula>"Yes"</formula>
    </cfRule>
  </conditionalFormatting>
  <hyperlinks>
    <hyperlink ref="H25" r:id="rId1" display="https://www.gov.uk/government/publications/environmental-permitting-guidance-core-guidance--2" xr:uid="{F7507028-6518-4C68-8EEE-27ECAB0678DE}"/>
  </hyperlinks>
  <pageMargins left="0.7" right="0.7" top="0.75" bottom="0.75" header="0.3" footer="0.3"/>
  <pageSetup paperSize="256" orientation="portrait" horizontalDpi="203" verticalDpi="203"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09EB0FC-B343-4DDA-A21D-833C5B057BD6}">
          <x14:formula1>
            <xm:f>Picklists!$B$3:$B$4</xm:f>
          </x14:formula1>
          <xm:sqref>H24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80CF-7E6A-44C9-A344-23262F880F33}">
  <dimension ref="B1:L42"/>
  <sheetViews>
    <sheetView workbookViewId="0">
      <selection activeCell="D6" sqref="D6"/>
    </sheetView>
  </sheetViews>
  <sheetFormatPr defaultRowHeight="14.4" x14ac:dyDescent="0.3"/>
  <cols>
    <col min="4" max="4" width="40.21875" customWidth="1"/>
    <col min="5" max="5" width="38.21875" customWidth="1"/>
    <col min="6" max="6" width="21.44140625" style="11" customWidth="1"/>
  </cols>
  <sheetData>
    <row r="1" spans="2:12" ht="15" thickBot="1" x14ac:dyDescent="0.35"/>
    <row r="2" spans="2:12" ht="16.2" thickBot="1" x14ac:dyDescent="0.35">
      <c r="B2" s="782" t="s">
        <v>24</v>
      </c>
      <c r="C2" s="783"/>
      <c r="D2" s="783"/>
      <c r="E2" s="783"/>
      <c r="F2" s="783"/>
      <c r="G2" s="783"/>
      <c r="H2" s="783"/>
      <c r="I2" s="783"/>
      <c r="J2" s="783"/>
      <c r="K2" s="783"/>
      <c r="L2" s="315"/>
    </row>
    <row r="3" spans="2:12" x14ac:dyDescent="0.3">
      <c r="B3" s="1"/>
      <c r="C3" s="2"/>
      <c r="D3" s="2"/>
      <c r="E3" s="2"/>
      <c r="F3" s="32"/>
      <c r="G3" s="2"/>
      <c r="H3" s="2"/>
      <c r="I3" s="2"/>
      <c r="J3" s="2"/>
      <c r="K3" s="2"/>
      <c r="L3" s="3"/>
    </row>
    <row r="4" spans="2:12" x14ac:dyDescent="0.3">
      <c r="B4" s="4"/>
      <c r="C4" s="382"/>
      <c r="D4" s="12" t="s">
        <v>754</v>
      </c>
      <c r="E4" s="316">
        <f>+Introduction!E10</f>
        <v>0</v>
      </c>
      <c r="F4" s="13"/>
      <c r="G4" s="5"/>
      <c r="H4" s="5"/>
      <c r="I4" s="5"/>
      <c r="J4" s="5"/>
      <c r="K4" s="5"/>
      <c r="L4" s="6"/>
    </row>
    <row r="5" spans="2:12" x14ac:dyDescent="0.3">
      <c r="B5" s="4"/>
      <c r="C5" s="382"/>
      <c r="D5" s="12" t="s">
        <v>795</v>
      </c>
      <c r="E5" s="316">
        <f>+Introduction!K10</f>
        <v>0</v>
      </c>
      <c r="F5" s="22"/>
      <c r="G5" s="5"/>
      <c r="H5" s="5"/>
      <c r="I5" s="5"/>
      <c r="J5" s="5"/>
      <c r="K5" s="5"/>
      <c r="L5" s="6"/>
    </row>
    <row r="6" spans="2:12" x14ac:dyDescent="0.3">
      <c r="B6" s="4"/>
      <c r="C6" s="5"/>
      <c r="D6" s="5"/>
      <c r="E6" s="5"/>
      <c r="F6" s="5"/>
      <c r="G6" s="5"/>
      <c r="H6" s="5"/>
      <c r="I6" s="5"/>
      <c r="J6" s="5"/>
      <c r="K6" s="5"/>
      <c r="L6" s="6"/>
    </row>
    <row r="7" spans="2:12" ht="49.8" x14ac:dyDescent="0.3">
      <c r="B7" s="4"/>
      <c r="C7" s="14" t="s">
        <v>25</v>
      </c>
      <c r="D7" s="15" t="s">
        <v>26</v>
      </c>
      <c r="E7" s="15" t="s">
        <v>27</v>
      </c>
      <c r="F7" s="15" t="s">
        <v>28</v>
      </c>
      <c r="G7" s="5"/>
      <c r="H7" s="5"/>
      <c r="I7" s="5"/>
      <c r="J7" s="784" t="s">
        <v>29</v>
      </c>
      <c r="K7" s="785"/>
      <c r="L7" s="6"/>
    </row>
    <row r="8" spans="2:12" ht="20.100000000000001" customHeight="1" x14ac:dyDescent="0.3">
      <c r="B8" s="16"/>
      <c r="C8" s="314">
        <v>1</v>
      </c>
      <c r="D8" s="700"/>
      <c r="E8" s="646"/>
      <c r="F8" s="57" t="str">
        <f>IFERROR(VLOOKUP(E8,Picklists!$D$3:$E$139,2,FALSE),"")</f>
        <v/>
      </c>
      <c r="G8" s="5"/>
      <c r="H8" s="5"/>
      <c r="I8" s="17"/>
      <c r="J8" s="18" t="s">
        <v>31</v>
      </c>
      <c r="K8" s="30">
        <f>COUNTIF($F$8:$F$32,J8)</f>
        <v>0</v>
      </c>
      <c r="L8" s="6"/>
    </row>
    <row r="9" spans="2:12" ht="20.100000000000001" customHeight="1" x14ac:dyDescent="0.3">
      <c r="B9" s="16"/>
      <c r="C9" s="314">
        <v>2</v>
      </c>
      <c r="D9" s="700"/>
      <c r="E9" s="646"/>
      <c r="F9" s="57" t="str">
        <f>IFERROR(VLOOKUP(E9,Picklists!$D$3:$E$139,2,FALSE),"")</f>
        <v/>
      </c>
      <c r="G9" s="5"/>
      <c r="H9" s="5"/>
      <c r="I9" s="17"/>
      <c r="J9" s="18" t="s">
        <v>32</v>
      </c>
      <c r="K9" s="30">
        <f t="shared" ref="K9:K12" si="0">COUNTIF($F$8:$F$32,J9)</f>
        <v>0</v>
      </c>
      <c r="L9" s="6"/>
    </row>
    <row r="10" spans="2:12" ht="20.100000000000001" customHeight="1" x14ac:dyDescent="0.3">
      <c r="B10" s="16"/>
      <c r="C10" s="314">
        <v>3</v>
      </c>
      <c r="D10" s="700"/>
      <c r="E10" s="646"/>
      <c r="F10" s="57" t="str">
        <f>IFERROR(VLOOKUP(E10,Picklists!$D$3:$E$139,2,FALSE),"")</f>
        <v/>
      </c>
      <c r="G10" s="5"/>
      <c r="H10" s="5"/>
      <c r="I10" s="17"/>
      <c r="J10" s="18" t="s">
        <v>30</v>
      </c>
      <c r="K10" s="30">
        <f t="shared" si="0"/>
        <v>0</v>
      </c>
      <c r="L10" s="6"/>
    </row>
    <row r="11" spans="2:12" ht="20.100000000000001" customHeight="1" x14ac:dyDescent="0.3">
      <c r="B11" s="16"/>
      <c r="C11" s="314">
        <v>4</v>
      </c>
      <c r="D11" s="700"/>
      <c r="E11" s="646"/>
      <c r="F11" s="57" t="str">
        <f>IFERROR(VLOOKUP(E11,Picklists!$D$3:$E$139,2,FALSE),"")</f>
        <v/>
      </c>
      <c r="G11" s="5"/>
      <c r="H11" s="5"/>
      <c r="I11" s="17"/>
      <c r="J11" s="18" t="s">
        <v>33</v>
      </c>
      <c r="K11" s="30">
        <f t="shared" si="0"/>
        <v>0</v>
      </c>
      <c r="L11" s="6"/>
    </row>
    <row r="12" spans="2:12" ht="20.100000000000001" customHeight="1" x14ac:dyDescent="0.3">
      <c r="B12" s="16"/>
      <c r="C12" s="314">
        <v>5</v>
      </c>
      <c r="D12" s="700"/>
      <c r="E12" s="646"/>
      <c r="F12" s="57" t="str">
        <f>IFERROR(VLOOKUP(E12,Picklists!$D$3:$E$139,2,FALSE),"")</f>
        <v/>
      </c>
      <c r="G12" s="5"/>
      <c r="H12" s="5"/>
      <c r="I12" s="17"/>
      <c r="J12" s="19" t="s">
        <v>34</v>
      </c>
      <c r="K12" s="30">
        <f t="shared" si="0"/>
        <v>0</v>
      </c>
      <c r="L12" s="6"/>
    </row>
    <row r="13" spans="2:12" ht="20.100000000000001" customHeight="1" x14ac:dyDescent="0.3">
      <c r="B13" s="16"/>
      <c r="C13" s="314">
        <v>6</v>
      </c>
      <c r="D13" s="700"/>
      <c r="E13" s="646"/>
      <c r="F13" s="57" t="str">
        <f>IFERROR(VLOOKUP(E13,Picklists!$D$3:$E$139,2,FALSE),"")</f>
        <v/>
      </c>
      <c r="G13" s="5"/>
      <c r="H13" s="5"/>
      <c r="I13" s="17"/>
      <c r="J13" s="20"/>
      <c r="K13" s="21"/>
      <c r="L13" s="6"/>
    </row>
    <row r="14" spans="2:12" ht="20.100000000000001" customHeight="1" x14ac:dyDescent="0.3">
      <c r="B14" s="16"/>
      <c r="C14" s="314">
        <v>7</v>
      </c>
      <c r="D14" s="700"/>
      <c r="E14" s="646"/>
      <c r="F14" s="57" t="str">
        <f>IFERROR(VLOOKUP(E14,Picklists!$D$3:$E$139,2,FALSE),"")</f>
        <v/>
      </c>
      <c r="G14" s="5"/>
      <c r="H14" s="5"/>
      <c r="I14" s="17"/>
      <c r="J14" s="5"/>
      <c r="K14" s="22"/>
      <c r="L14" s="6"/>
    </row>
    <row r="15" spans="2:12" ht="20.100000000000001" customHeight="1" x14ac:dyDescent="0.3">
      <c r="B15" s="16"/>
      <c r="C15" s="314">
        <v>8</v>
      </c>
      <c r="D15" s="700"/>
      <c r="E15" s="646"/>
      <c r="F15" s="57" t="str">
        <f>IFERROR(VLOOKUP(E15,Picklists!$D$3:$E$139,2,FALSE),"")</f>
        <v/>
      </c>
      <c r="G15" s="5"/>
      <c r="H15" s="5"/>
      <c r="I15" s="17"/>
      <c r="J15" s="5"/>
      <c r="K15" s="5"/>
      <c r="L15" s="6"/>
    </row>
    <row r="16" spans="2:12" ht="20.100000000000001" customHeight="1" x14ac:dyDescent="0.3">
      <c r="B16" s="16"/>
      <c r="C16" s="314">
        <v>9</v>
      </c>
      <c r="D16" s="700"/>
      <c r="E16" s="646"/>
      <c r="F16" s="57" t="str">
        <f>IFERROR(VLOOKUP(E16,Picklists!$D$3:$E$139,2,FALSE),"")</f>
        <v/>
      </c>
      <c r="G16" s="5"/>
      <c r="H16" s="5"/>
      <c r="I16" s="17"/>
      <c r="J16" s="786"/>
      <c r="K16" s="786"/>
      <c r="L16" s="6"/>
    </row>
    <row r="17" spans="2:12" ht="20.100000000000001" customHeight="1" x14ac:dyDescent="0.3">
      <c r="B17" s="16"/>
      <c r="C17" s="314">
        <v>10</v>
      </c>
      <c r="D17" s="700"/>
      <c r="E17" s="646"/>
      <c r="F17" s="57" t="str">
        <f>IFERROR(VLOOKUP(E17,Picklists!$D$3:$E$139,2,FALSE),"")</f>
        <v/>
      </c>
      <c r="G17" s="5"/>
      <c r="H17" s="5"/>
      <c r="I17" s="17"/>
      <c r="J17" s="786"/>
      <c r="K17" s="786"/>
      <c r="L17" s="6"/>
    </row>
    <row r="18" spans="2:12" ht="20.100000000000001" customHeight="1" x14ac:dyDescent="0.3">
      <c r="B18" s="16"/>
      <c r="C18" s="314">
        <v>11</v>
      </c>
      <c r="D18" s="700"/>
      <c r="E18" s="646"/>
      <c r="F18" s="57" t="str">
        <f>IFERROR(VLOOKUP(E18,Picklists!$D$3:$E$139,2,FALSE),"")</f>
        <v/>
      </c>
      <c r="G18" s="5"/>
      <c r="H18" s="5"/>
      <c r="I18" s="17"/>
      <c r="J18" s="786"/>
      <c r="K18" s="786"/>
      <c r="L18" s="6"/>
    </row>
    <row r="19" spans="2:12" ht="20.100000000000001" customHeight="1" x14ac:dyDescent="0.3">
      <c r="B19" s="16"/>
      <c r="C19" s="314">
        <v>12</v>
      </c>
      <c r="D19" s="700"/>
      <c r="E19" s="646"/>
      <c r="F19" s="57" t="str">
        <f>IFERROR(VLOOKUP(E19,Picklists!$D$3:$E$139,2,FALSE),"")</f>
        <v/>
      </c>
      <c r="G19" s="5"/>
      <c r="H19" s="5"/>
      <c r="I19" s="17"/>
      <c r="J19" s="786"/>
      <c r="K19" s="786"/>
      <c r="L19" s="6"/>
    </row>
    <row r="20" spans="2:12" ht="20.100000000000001" customHeight="1" x14ac:dyDescent="0.3">
      <c r="B20" s="16"/>
      <c r="C20" s="314">
        <v>13</v>
      </c>
      <c r="D20" s="700"/>
      <c r="E20" s="646"/>
      <c r="F20" s="57" t="str">
        <f>IFERROR(VLOOKUP(E20,Picklists!$D$3:$E$139,2,FALSE),"")</f>
        <v/>
      </c>
      <c r="G20" s="5"/>
      <c r="H20" s="5"/>
      <c r="I20" s="17"/>
      <c r="J20" s="786"/>
      <c r="K20" s="786"/>
      <c r="L20" s="6"/>
    </row>
    <row r="21" spans="2:12" ht="20.100000000000001" customHeight="1" x14ac:dyDescent="0.3">
      <c r="B21" s="16"/>
      <c r="C21" s="314">
        <v>14</v>
      </c>
      <c r="D21" s="700"/>
      <c r="E21" s="646"/>
      <c r="F21" s="57" t="str">
        <f>IFERROR(VLOOKUP(E21,Picklists!$D$3:$E$139,2,FALSE),"")</f>
        <v/>
      </c>
      <c r="G21" s="5"/>
      <c r="H21" s="5"/>
      <c r="I21" s="17"/>
      <c r="J21" s="23"/>
      <c r="K21" s="23"/>
      <c r="L21" s="6"/>
    </row>
    <row r="22" spans="2:12" ht="20.100000000000001" customHeight="1" x14ac:dyDescent="0.3">
      <c r="B22" s="16"/>
      <c r="C22" s="314">
        <v>15</v>
      </c>
      <c r="D22" s="700"/>
      <c r="E22" s="646"/>
      <c r="F22" s="57" t="str">
        <f>IFERROR(VLOOKUP(E22,Picklists!$D$3:$E$139,2,FALSE),"")</f>
        <v/>
      </c>
      <c r="G22" s="5"/>
      <c r="H22" s="5"/>
      <c r="I22" s="17"/>
      <c r="J22" s="24"/>
      <c r="K22" s="24"/>
      <c r="L22" s="6"/>
    </row>
    <row r="23" spans="2:12" ht="20.100000000000001" customHeight="1" x14ac:dyDescent="0.3">
      <c r="B23" s="16"/>
      <c r="C23" s="314">
        <v>16</v>
      </c>
      <c r="D23" s="700"/>
      <c r="E23" s="646"/>
      <c r="F23" s="57" t="str">
        <f>IFERROR(VLOOKUP(E23,Picklists!$D$3:$E$139,2,FALSE),"")</f>
        <v/>
      </c>
      <c r="G23" s="5"/>
      <c r="H23" s="5"/>
      <c r="I23" s="17"/>
      <c r="J23" s="24"/>
      <c r="K23" s="24"/>
      <c r="L23" s="6"/>
    </row>
    <row r="24" spans="2:12" ht="20.100000000000001" customHeight="1" x14ac:dyDescent="0.3">
      <c r="B24" s="16"/>
      <c r="C24" s="314">
        <v>17</v>
      </c>
      <c r="D24" s="700"/>
      <c r="E24" s="646"/>
      <c r="F24" s="57" t="str">
        <f>IFERROR(VLOOKUP(E24,Picklists!$D$3:$E$139,2,FALSE),"")</f>
        <v/>
      </c>
      <c r="G24" s="5"/>
      <c r="H24" s="5"/>
      <c r="I24" s="17"/>
      <c r="J24" s="24"/>
      <c r="K24" s="24"/>
      <c r="L24" s="6"/>
    </row>
    <row r="25" spans="2:12" ht="20.100000000000001" customHeight="1" x14ac:dyDescent="0.3">
      <c r="B25" s="16"/>
      <c r="C25" s="314">
        <v>18</v>
      </c>
      <c r="D25" s="700"/>
      <c r="E25" s="646"/>
      <c r="F25" s="57" t="str">
        <f>IFERROR(VLOOKUP(E25,Picklists!$D$3:$E$139,2,FALSE),"")</f>
        <v/>
      </c>
      <c r="G25" s="5"/>
      <c r="H25" s="5"/>
      <c r="I25" s="17"/>
      <c r="J25" s="787" t="s">
        <v>42</v>
      </c>
      <c r="K25" s="787"/>
      <c r="L25" s="6"/>
    </row>
    <row r="26" spans="2:12" ht="20.100000000000001" customHeight="1" x14ac:dyDescent="0.3">
      <c r="B26" s="16"/>
      <c r="C26" s="314">
        <v>19</v>
      </c>
      <c r="D26" s="700"/>
      <c r="E26" s="646"/>
      <c r="F26" s="57" t="str">
        <f>IFERROR(VLOOKUP(E26,Picklists!$D$3:$E$139,2,FALSE),"")</f>
        <v/>
      </c>
      <c r="G26" s="5"/>
      <c r="H26" s="5" t="str">
        <f t="shared" ref="H26:H32" si="1">IF(F26="E",5,(IF(F26="D",4,(IF(F26="C",3,(IF(F26="B",2,(IF(F26="A",1,"")))))))))</f>
        <v/>
      </c>
      <c r="I26" s="17"/>
      <c r="J26" s="787"/>
      <c r="K26" s="787"/>
      <c r="L26" s="6"/>
    </row>
    <row r="27" spans="2:12" ht="20.100000000000001" customHeight="1" x14ac:dyDescent="0.3">
      <c r="B27" s="16"/>
      <c r="C27" s="314">
        <v>20</v>
      </c>
      <c r="D27" s="700"/>
      <c r="E27" s="646"/>
      <c r="F27" s="57" t="str">
        <f>IFERROR(VLOOKUP(E27,Picklists!$D$3:$E$139,2,FALSE),"")</f>
        <v/>
      </c>
      <c r="G27" s="5"/>
      <c r="H27" s="5" t="str">
        <f>IF(F27="E",5,(IF(F27="D",4,(IF(F27="C",3,(IF(F27="B",2,(IF(F27="A",1,"")))))))))</f>
        <v/>
      </c>
      <c r="I27" s="17"/>
      <c r="J27" s="787"/>
      <c r="K27" s="787"/>
      <c r="L27" s="6"/>
    </row>
    <row r="28" spans="2:12" ht="20.100000000000001" customHeight="1" x14ac:dyDescent="0.3">
      <c r="B28" s="16"/>
      <c r="C28" s="314">
        <v>21</v>
      </c>
      <c r="D28" s="700"/>
      <c r="E28" s="646"/>
      <c r="F28" s="57" t="str">
        <f>IFERROR(VLOOKUP(E28,Picklists!$D$3:$E$139,2,FALSE),"")</f>
        <v/>
      </c>
      <c r="G28" s="5"/>
      <c r="H28" s="5" t="str">
        <f t="shared" si="1"/>
        <v/>
      </c>
      <c r="I28" s="17"/>
      <c r="J28" s="5"/>
      <c r="K28" s="5"/>
      <c r="L28" s="6"/>
    </row>
    <row r="29" spans="2:12" ht="20.100000000000001" customHeight="1" x14ac:dyDescent="0.3">
      <c r="B29" s="16"/>
      <c r="C29" s="314">
        <v>22</v>
      </c>
      <c r="D29" s="700"/>
      <c r="E29" s="646"/>
      <c r="F29" s="57" t="str">
        <f>IFERROR(VLOOKUP(E29,Picklists!$D$3:$E$139,2,FALSE),"")</f>
        <v/>
      </c>
      <c r="G29" s="5"/>
      <c r="H29" s="5" t="str">
        <f t="shared" si="1"/>
        <v/>
      </c>
      <c r="I29" s="17"/>
      <c r="J29" s="5"/>
      <c r="K29" s="5"/>
      <c r="L29" s="6"/>
    </row>
    <row r="30" spans="2:12" ht="20.100000000000001" customHeight="1" x14ac:dyDescent="0.3">
      <c r="B30" s="16"/>
      <c r="C30" s="314">
        <v>23</v>
      </c>
      <c r="D30" s="700"/>
      <c r="E30" s="646"/>
      <c r="F30" s="57" t="str">
        <f>IFERROR(VLOOKUP(E30,Picklists!$D$3:$E$139,2,FALSE),"")</f>
        <v/>
      </c>
      <c r="G30" s="5"/>
      <c r="H30" s="5" t="str">
        <f t="shared" si="1"/>
        <v/>
      </c>
      <c r="I30" s="17"/>
      <c r="J30" s="5"/>
      <c r="K30" s="5"/>
      <c r="L30" s="6"/>
    </row>
    <row r="31" spans="2:12" ht="20.100000000000001" customHeight="1" x14ac:dyDescent="0.3">
      <c r="B31" s="16"/>
      <c r="C31" s="314">
        <v>24</v>
      </c>
      <c r="D31" s="700"/>
      <c r="E31" s="646"/>
      <c r="F31" s="57" t="str">
        <f>IFERROR(VLOOKUP(E31,Picklists!$D$3:$E$139,2,FALSE),"")</f>
        <v/>
      </c>
      <c r="G31" s="5"/>
      <c r="H31" s="5" t="str">
        <f t="shared" si="1"/>
        <v/>
      </c>
      <c r="I31" s="17"/>
      <c r="J31" s="5"/>
      <c r="K31" s="5"/>
      <c r="L31" s="6"/>
    </row>
    <row r="32" spans="2:12" ht="20.100000000000001" customHeight="1" x14ac:dyDescent="0.3">
      <c r="B32" s="16"/>
      <c r="C32" s="314">
        <v>25</v>
      </c>
      <c r="D32" s="700"/>
      <c r="E32" s="646"/>
      <c r="F32" s="57" t="str">
        <f>IFERROR(VLOOKUP(E32,Picklists!$D$3:$E$139,2,FALSE),"")</f>
        <v/>
      </c>
      <c r="G32" s="5"/>
      <c r="H32" s="699" t="str">
        <f t="shared" si="1"/>
        <v/>
      </c>
      <c r="I32" s="17"/>
      <c r="J32" s="5"/>
      <c r="K32" s="5"/>
      <c r="L32" s="6"/>
    </row>
    <row r="33" spans="2:12" x14ac:dyDescent="0.3">
      <c r="B33" s="4"/>
      <c r="C33" s="5"/>
      <c r="D33" s="5"/>
      <c r="E33" s="5"/>
      <c r="F33" s="22"/>
      <c r="G33" s="5"/>
      <c r="H33" s="5"/>
      <c r="I33" s="5"/>
      <c r="J33" s="5"/>
      <c r="K33" s="5"/>
      <c r="L33" s="6"/>
    </row>
    <row r="34" spans="2:12" x14ac:dyDescent="0.3">
      <c r="B34" s="4"/>
      <c r="C34" s="5"/>
      <c r="D34" s="5"/>
      <c r="E34" s="5"/>
      <c r="F34" s="25"/>
      <c r="G34" s="5"/>
      <c r="H34" s="5"/>
      <c r="I34" s="5"/>
      <c r="J34" s="5"/>
      <c r="K34" s="5"/>
      <c r="L34" s="6"/>
    </row>
    <row r="35" spans="2:12" ht="15.75" customHeight="1" x14ac:dyDescent="0.3">
      <c r="B35" s="4"/>
      <c r="C35" s="25"/>
      <c r="D35" s="788" t="s">
        <v>735</v>
      </c>
      <c r="E35" s="788"/>
      <c r="F35" s="788"/>
      <c r="G35" s="788"/>
      <c r="H35" s="788"/>
      <c r="I35" s="5"/>
      <c r="J35" s="5"/>
      <c r="K35" s="5"/>
      <c r="L35" s="6"/>
    </row>
    <row r="36" spans="2:12" ht="15.75" customHeight="1" x14ac:dyDescent="0.3">
      <c r="B36" s="4"/>
      <c r="C36" s="385"/>
      <c r="D36" s="789"/>
      <c r="E36" s="789"/>
      <c r="F36" s="789"/>
      <c r="G36" s="789"/>
      <c r="H36" s="789"/>
      <c r="I36" s="5"/>
      <c r="J36" s="5"/>
      <c r="K36" s="5"/>
      <c r="L36" s="6"/>
    </row>
    <row r="37" spans="2:12" ht="27" x14ac:dyDescent="0.3">
      <c r="B37" s="4"/>
      <c r="C37" s="321"/>
      <c r="D37" s="322" t="s">
        <v>48</v>
      </c>
      <c r="E37" s="323" t="s">
        <v>49</v>
      </c>
      <c r="F37" s="324" t="s">
        <v>50</v>
      </c>
      <c r="G37" s="790" t="s">
        <v>51</v>
      </c>
      <c r="H37" s="790"/>
      <c r="I37" s="5"/>
      <c r="J37" s="5"/>
      <c r="K37" s="5"/>
      <c r="L37" s="6"/>
    </row>
    <row r="38" spans="2:12" x14ac:dyDescent="0.3">
      <c r="B38" s="4"/>
      <c r="C38" s="636">
        <v>1</v>
      </c>
      <c r="D38" s="325"/>
      <c r="E38" s="326"/>
      <c r="F38" s="326"/>
      <c r="G38" s="779" t="str">
        <f>IFERROR(VLOOKUP(F38,Picklists!D33:E81,2),"")</f>
        <v/>
      </c>
      <c r="H38" s="779"/>
      <c r="I38" s="5"/>
      <c r="J38" s="5"/>
      <c r="K38" s="5"/>
      <c r="L38" s="6"/>
    </row>
    <row r="39" spans="2:12" x14ac:dyDescent="0.3">
      <c r="B39" s="4"/>
      <c r="C39" s="636">
        <v>2</v>
      </c>
      <c r="D39" s="325"/>
      <c r="E39" s="326"/>
      <c r="F39" s="326"/>
      <c r="G39" s="779" t="str">
        <f>IFERROR(VLOOKUP(F39,Picklists!D34:E82,2),"")</f>
        <v/>
      </c>
      <c r="H39" s="779"/>
      <c r="I39" s="5"/>
      <c r="J39" s="5"/>
      <c r="K39" s="5"/>
      <c r="L39" s="6"/>
    </row>
    <row r="40" spans="2:12" x14ac:dyDescent="0.3">
      <c r="B40" s="4"/>
      <c r="C40" s="637"/>
      <c r="D40" s="638"/>
      <c r="E40" s="390"/>
      <c r="F40" s="390"/>
      <c r="G40" s="387"/>
      <c r="H40" s="387"/>
      <c r="I40" s="5"/>
      <c r="J40" s="5"/>
      <c r="K40" s="5"/>
      <c r="L40" s="6"/>
    </row>
    <row r="41" spans="2:12" x14ac:dyDescent="0.3">
      <c r="B41" s="4"/>
      <c r="C41" s="25"/>
      <c r="D41" s="382"/>
      <c r="E41" s="639" t="s">
        <v>52</v>
      </c>
      <c r="F41" s="780" t="s">
        <v>53</v>
      </c>
      <c r="G41" s="781"/>
      <c r="H41" s="5"/>
      <c r="I41" s="5"/>
      <c r="J41" s="5"/>
      <c r="K41" s="5"/>
      <c r="L41" s="6"/>
    </row>
    <row r="42" spans="2:12" ht="15" thickBot="1" x14ac:dyDescent="0.35">
      <c r="B42" s="8"/>
      <c r="C42" s="9"/>
      <c r="D42" s="9"/>
      <c r="E42" s="9"/>
      <c r="F42" s="42"/>
      <c r="G42" s="9"/>
      <c r="H42" s="9"/>
      <c r="I42" s="9"/>
      <c r="J42" s="9"/>
      <c r="K42" s="9"/>
      <c r="L42" s="10"/>
    </row>
  </sheetData>
  <sheetProtection algorithmName="SHA-512" hashValue="chQ5rs1LNwM5KkBo+3diQCMB/sL6kNhgqous1FAf61f739jIQoxFdt0ScBYBV/5M1f0upP4aszLzL6UOQUy6+A==" saltValue="aIpj3TfVT0MSAwyxrfk8Qg==" spinCount="100000" sheet="1" objects="1" scenarios="1"/>
  <protectedRanges>
    <protectedRange algorithmName="SHA-512" hashValue="N/FMzXcWg54ewq0XL6HghvNzUNJRnCt7aySmdX/oMIhKXEtZw5q6B/KALvA2HTtL707mWLFRq8ZZoJ5P26qxMQ==" saltValue="WadWEHugRz8yHsJvfU0l8w==" spinCount="100000" sqref="D8:E32" name="Range1"/>
  </protectedRanges>
  <mergeCells count="9">
    <mergeCell ref="G39:H39"/>
    <mergeCell ref="F41:G41"/>
    <mergeCell ref="B2:K2"/>
    <mergeCell ref="J7:K7"/>
    <mergeCell ref="J16:K20"/>
    <mergeCell ref="J25:K27"/>
    <mergeCell ref="D35:H36"/>
    <mergeCell ref="G37:H37"/>
    <mergeCell ref="G38:H38"/>
  </mergeCells>
  <dataValidations count="1">
    <dataValidation allowBlank="1" sqref="F33 F42" xr:uid="{EBC1C9A4-4723-4D17-B56E-392FE09EDFE9}"/>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FAA6D708-EF30-4349-8814-4A68221D9579}">
          <x14:formula1>
            <xm:f>Picklists!$D$3:$D$139</xm:f>
          </x14:formula1>
          <xm:sqref>E8:E32</xm:sqref>
        </x14:dataValidation>
        <x14:dataValidation type="list" allowBlank="1" showInputMessage="1" showErrorMessage="1" xr:uid="{8064FF46-9AB6-4B99-8FE9-82F1516E7064}">
          <x14:formula1>
            <xm:f>Picklists!$D$33:$D$81</xm:f>
          </x14:formula1>
          <xm:sqref>F38:F40</xm:sqref>
        </x14:dataValidation>
        <x14:dataValidation type="list" allowBlank="1" showInputMessage="1" showErrorMessage="1" xr:uid="{244B6BD1-DDF8-40D3-B9F4-7C20CF3EF191}">
          <x14:formula1>
            <xm:f>Picklists!$U$4:$U$9</xm:f>
          </x14:formula1>
          <xm:sqref>D38:D40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1DE11-CFF6-4BA5-9847-E14DA68B0157}">
  <dimension ref="B1:H33"/>
  <sheetViews>
    <sheetView workbookViewId="0">
      <selection activeCell="C6" sqref="C6"/>
    </sheetView>
  </sheetViews>
  <sheetFormatPr defaultRowHeight="14.4" x14ac:dyDescent="0.3"/>
  <cols>
    <col min="4" max="4" width="31.44140625" customWidth="1"/>
    <col min="5" max="5" width="21.77734375" customWidth="1"/>
    <col min="6" max="6" width="42.5546875" customWidth="1"/>
    <col min="7" max="7" width="22.5546875" customWidth="1"/>
  </cols>
  <sheetData>
    <row r="1" spans="2:8" ht="15" thickBot="1" x14ac:dyDescent="0.35"/>
    <row r="2" spans="2:8" ht="33" customHeight="1" thickBot="1" x14ac:dyDescent="0.35">
      <c r="B2" s="694"/>
      <c r="C2" s="795" t="s">
        <v>750</v>
      </c>
      <c r="D2" s="796"/>
      <c r="E2" s="796"/>
      <c r="F2" s="797"/>
      <c r="G2" s="694"/>
      <c r="H2" s="695"/>
    </row>
    <row r="3" spans="2:8" ht="16.5" customHeight="1" x14ac:dyDescent="0.3">
      <c r="B3" s="4"/>
      <c r="C3" s="403"/>
      <c r="D3" s="642"/>
      <c r="E3" s="802"/>
      <c r="F3" s="802"/>
      <c r="G3" s="385"/>
      <c r="H3" s="6"/>
    </row>
    <row r="4" spans="2:8" x14ac:dyDescent="0.3">
      <c r="B4" s="4"/>
      <c r="C4" s="792" t="s">
        <v>47</v>
      </c>
      <c r="D4" s="792"/>
      <c r="E4" s="793">
        <f>+Introduction!E10</f>
        <v>0</v>
      </c>
      <c r="F4" s="793"/>
      <c r="G4" s="791"/>
      <c r="H4" s="6"/>
    </row>
    <row r="5" spans="2:8" x14ac:dyDescent="0.3">
      <c r="B5" s="4"/>
      <c r="C5" s="792" t="s">
        <v>795</v>
      </c>
      <c r="D5" s="792"/>
      <c r="E5" s="793">
        <f>+Introduction!K10</f>
        <v>0</v>
      </c>
      <c r="F5" s="793"/>
      <c r="G5" s="791"/>
      <c r="H5" s="6"/>
    </row>
    <row r="6" spans="2:8" x14ac:dyDescent="0.3">
      <c r="B6" s="4"/>
      <c r="C6" s="25"/>
      <c r="D6" s="25"/>
      <c r="E6" s="33"/>
      <c r="F6" s="5"/>
      <c r="G6" s="791"/>
      <c r="H6" s="6"/>
    </row>
    <row r="7" spans="2:8" ht="51" customHeight="1" x14ac:dyDescent="0.3">
      <c r="B7" s="4"/>
      <c r="C7" s="794" t="s">
        <v>747</v>
      </c>
      <c r="D7" s="794"/>
      <c r="E7" s="794"/>
      <c r="F7" s="794"/>
      <c r="G7" s="640"/>
      <c r="H7" s="6"/>
    </row>
    <row r="8" spans="2:8" ht="36.75" customHeight="1" x14ac:dyDescent="0.3">
      <c r="B8" s="4"/>
      <c r="C8" s="313"/>
      <c r="D8" s="25"/>
      <c r="E8" s="313"/>
      <c r="F8" s="37"/>
      <c r="G8" s="313"/>
      <c r="H8" s="6"/>
    </row>
    <row r="9" spans="2:8" ht="35.25" customHeight="1" x14ac:dyDescent="0.3">
      <c r="B9" s="4"/>
      <c r="C9" s="798" t="s">
        <v>751</v>
      </c>
      <c r="D9" s="799"/>
      <c r="E9" s="799"/>
      <c r="F9" s="800"/>
      <c r="G9" s="38"/>
      <c r="H9" s="6"/>
    </row>
    <row r="10" spans="2:8" ht="39.6" x14ac:dyDescent="0.3">
      <c r="B10" s="4"/>
      <c r="C10" s="318"/>
      <c r="D10" s="45" t="s">
        <v>54</v>
      </c>
      <c r="E10" s="45" t="s">
        <v>746</v>
      </c>
      <c r="F10" s="15" t="s">
        <v>656</v>
      </c>
      <c r="G10" s="312"/>
      <c r="H10" s="6"/>
    </row>
    <row r="11" spans="2:8" ht="18" customHeight="1" x14ac:dyDescent="0.3">
      <c r="B11" s="4"/>
      <c r="C11" s="318">
        <v>1</v>
      </c>
      <c r="D11" s="698"/>
      <c r="E11" s="528"/>
      <c r="F11" s="320"/>
      <c r="G11" s="327"/>
      <c r="H11" s="36"/>
    </row>
    <row r="12" spans="2:8" ht="18" customHeight="1" x14ac:dyDescent="0.3">
      <c r="B12" s="4"/>
      <c r="C12" s="318">
        <v>2</v>
      </c>
      <c r="D12" s="698"/>
      <c r="E12" s="528"/>
      <c r="F12" s="320"/>
      <c r="G12" s="327"/>
      <c r="H12" s="36"/>
    </row>
    <row r="13" spans="2:8" ht="18" customHeight="1" x14ac:dyDescent="0.3">
      <c r="B13" s="4"/>
      <c r="C13" s="318">
        <v>3</v>
      </c>
      <c r="D13" s="698"/>
      <c r="E13" s="528"/>
      <c r="F13" s="320"/>
      <c r="G13" s="327"/>
      <c r="H13" s="36"/>
    </row>
    <row r="14" spans="2:8" ht="18" customHeight="1" x14ac:dyDescent="0.3">
      <c r="B14" s="4"/>
      <c r="C14" s="318">
        <v>4</v>
      </c>
      <c r="D14" s="698"/>
      <c r="E14" s="528"/>
      <c r="F14" s="320"/>
      <c r="G14" s="327"/>
      <c r="H14" s="36"/>
    </row>
    <row r="15" spans="2:8" ht="18" customHeight="1" x14ac:dyDescent="0.3">
      <c r="B15" s="4"/>
      <c r="C15" s="318">
        <v>5</v>
      </c>
      <c r="D15" s="698"/>
      <c r="E15" s="528"/>
      <c r="F15" s="320"/>
      <c r="G15" s="327"/>
      <c r="H15" s="36"/>
    </row>
    <row r="16" spans="2:8" ht="18" customHeight="1" x14ac:dyDescent="0.3">
      <c r="B16" s="4"/>
      <c r="C16" s="318">
        <v>6</v>
      </c>
      <c r="D16" s="319"/>
      <c r="E16" s="528"/>
      <c r="F16" s="320"/>
      <c r="G16" s="327"/>
      <c r="H16" s="36"/>
    </row>
    <row r="17" spans="2:8" ht="18" customHeight="1" x14ac:dyDescent="0.3">
      <c r="B17" s="4"/>
      <c r="C17" s="318">
        <v>7</v>
      </c>
      <c r="D17" s="319"/>
      <c r="E17" s="528"/>
      <c r="F17" s="320"/>
      <c r="G17" s="327"/>
      <c r="H17" s="36"/>
    </row>
    <row r="18" spans="2:8" ht="18" customHeight="1" x14ac:dyDescent="0.3">
      <c r="B18" s="4"/>
      <c r="C18" s="318">
        <v>8</v>
      </c>
      <c r="D18" s="319"/>
      <c r="E18" s="528"/>
      <c r="F18" s="320"/>
      <c r="G18" s="327"/>
      <c r="H18" s="36"/>
    </row>
    <row r="19" spans="2:8" ht="18" customHeight="1" x14ac:dyDescent="0.3">
      <c r="B19" s="4"/>
      <c r="C19" s="318">
        <v>9</v>
      </c>
      <c r="D19" s="319"/>
      <c r="E19" s="528"/>
      <c r="F19" s="320"/>
      <c r="G19" s="327"/>
      <c r="H19" s="36"/>
    </row>
    <row r="20" spans="2:8" ht="18" customHeight="1" x14ac:dyDescent="0.3">
      <c r="B20" s="4"/>
      <c r="C20" s="318">
        <v>10</v>
      </c>
      <c r="D20" s="319"/>
      <c r="E20" s="528"/>
      <c r="F20" s="320"/>
      <c r="G20" s="327"/>
      <c r="H20" s="36"/>
    </row>
    <row r="21" spans="2:8" ht="18" customHeight="1" x14ac:dyDescent="0.3">
      <c r="B21" s="4"/>
      <c r="C21" s="318">
        <v>11</v>
      </c>
      <c r="D21" s="319"/>
      <c r="E21" s="528"/>
      <c r="F21" s="320"/>
      <c r="G21" s="327"/>
      <c r="H21" s="36"/>
    </row>
    <row r="22" spans="2:8" ht="18" customHeight="1" x14ac:dyDescent="0.3">
      <c r="B22" s="4"/>
      <c r="C22" s="318">
        <v>12</v>
      </c>
      <c r="D22" s="319"/>
      <c r="E22" s="528"/>
      <c r="F22" s="320"/>
      <c r="G22" s="327"/>
      <c r="H22" s="36"/>
    </row>
    <row r="23" spans="2:8" ht="18" customHeight="1" x14ac:dyDescent="0.3">
      <c r="B23" s="4"/>
      <c r="C23" s="318">
        <v>13</v>
      </c>
      <c r="D23" s="319"/>
      <c r="E23" s="528"/>
      <c r="F23" s="320"/>
      <c r="G23" s="327"/>
      <c r="H23" s="36"/>
    </row>
    <row r="24" spans="2:8" ht="18" customHeight="1" x14ac:dyDescent="0.3">
      <c r="B24" s="4"/>
      <c r="C24" s="318">
        <v>14</v>
      </c>
      <c r="D24" s="319"/>
      <c r="E24" s="528"/>
      <c r="F24" s="320"/>
      <c r="G24" s="327"/>
      <c r="H24" s="36"/>
    </row>
    <row r="25" spans="2:8" ht="18" customHeight="1" x14ac:dyDescent="0.3">
      <c r="B25" s="4"/>
      <c r="C25" s="318">
        <v>15</v>
      </c>
      <c r="D25" s="319"/>
      <c r="E25" s="528"/>
      <c r="F25" s="320"/>
      <c r="G25" s="327"/>
      <c r="H25" s="36"/>
    </row>
    <row r="26" spans="2:8" ht="18" customHeight="1" x14ac:dyDescent="0.3">
      <c r="B26" s="4"/>
      <c r="C26" s="318">
        <v>16</v>
      </c>
      <c r="D26" s="319"/>
      <c r="E26" s="528"/>
      <c r="F26" s="320"/>
      <c r="G26" s="327"/>
      <c r="H26" s="36"/>
    </row>
    <row r="27" spans="2:8" ht="18" customHeight="1" x14ac:dyDescent="0.3">
      <c r="B27" s="4"/>
      <c r="C27" s="318">
        <v>17</v>
      </c>
      <c r="D27" s="319"/>
      <c r="E27" s="528"/>
      <c r="F27" s="320"/>
      <c r="G27" s="327"/>
      <c r="H27" s="36"/>
    </row>
    <row r="28" spans="2:8" ht="18" customHeight="1" x14ac:dyDescent="0.3">
      <c r="B28" s="4"/>
      <c r="C28" s="318">
        <v>18</v>
      </c>
      <c r="D28" s="319"/>
      <c r="E28" s="528"/>
      <c r="F28" s="320"/>
      <c r="G28" s="327"/>
      <c r="H28" s="36"/>
    </row>
    <row r="29" spans="2:8" ht="18" customHeight="1" x14ac:dyDescent="0.3">
      <c r="B29" s="4"/>
      <c r="C29" s="318">
        <v>19</v>
      </c>
      <c r="D29" s="319"/>
      <c r="E29" s="528"/>
      <c r="F29" s="320"/>
      <c r="G29" s="327"/>
      <c r="H29" s="36"/>
    </row>
    <row r="30" spans="2:8" ht="18" customHeight="1" x14ac:dyDescent="0.3">
      <c r="B30" s="4"/>
      <c r="C30" s="318">
        <v>20</v>
      </c>
      <c r="D30" s="43"/>
      <c r="E30" s="528"/>
      <c r="F30" s="320"/>
      <c r="G30" s="327"/>
      <c r="H30" s="36"/>
    </row>
    <row r="31" spans="2:8" x14ac:dyDescent="0.3">
      <c r="B31" s="4"/>
      <c r="C31" s="25"/>
      <c r="D31" s="40"/>
      <c r="E31" s="40"/>
      <c r="F31" s="5"/>
      <c r="G31" s="39"/>
      <c r="H31" s="36"/>
    </row>
    <row r="32" spans="2:8" x14ac:dyDescent="0.3">
      <c r="B32" s="4"/>
      <c r="C32" s="25"/>
      <c r="D32" s="801"/>
      <c r="E32" s="801"/>
      <c r="F32" s="5"/>
      <c r="G32" s="39"/>
      <c r="H32" s="36"/>
    </row>
    <row r="33" spans="2:8" ht="15" thickBot="1" x14ac:dyDescent="0.35">
      <c r="B33" s="8"/>
      <c r="C33" s="41"/>
      <c r="D33" s="42"/>
      <c r="E33" s="9"/>
      <c r="F33" s="9"/>
      <c r="G33" s="9"/>
      <c r="H33" s="10"/>
    </row>
  </sheetData>
  <sheetProtection algorithmName="SHA-512" hashValue="fsqXYgRbJBOjOYnC42zb24xwj8usBonOi65t3eMb5LOTPgmxRtDBivfF56tZk0V8vnBxUNe1j0oqpSM+j77cqw==" saltValue="QAtO6EygMaPEFaXdSpDN6A==" spinCount="100000" sheet="1" objects="1" scenarios="1"/>
  <dataConsolidate/>
  <mergeCells count="10">
    <mergeCell ref="C9:F9"/>
    <mergeCell ref="D32:E32"/>
    <mergeCell ref="E3:F3"/>
    <mergeCell ref="C4:D4"/>
    <mergeCell ref="E4:F4"/>
    <mergeCell ref="G4:G6"/>
    <mergeCell ref="C5:D5"/>
    <mergeCell ref="E5:F5"/>
    <mergeCell ref="C7:F7"/>
    <mergeCell ref="C2:F2"/>
  </mergeCells>
  <phoneticPr fontId="40" type="noConversion"/>
  <dataValidations count="4">
    <dataValidation allowBlank="1" sqref="G33" xr:uid="{0CFF239F-ECE4-41E7-B6AB-6E159C072809}"/>
    <dataValidation allowBlank="1" errorTitle="Select From List" prompt="Select from List" sqref="E31:F32 G11:G32" xr:uid="{D0CA53DC-5E8B-408C-9CCB-B55E3E136D4E}"/>
    <dataValidation type="list" allowBlank="1" errorTitle="Select From List" prompt="Select from List" sqref="F11:F30" xr:uid="{5EEB976A-8913-451C-8C93-D9A2658DBFC7}">
      <formula1>INDIRECT(E11)</formula1>
    </dataValidation>
    <dataValidation type="list" allowBlank="1" errorTitle="Select From List" prompt="Select from List" sqref="E11:E30" xr:uid="{70A935D3-87B5-4C5E-98F6-06D2BF79B9CA}">
      <formula1>category</formula1>
    </dataValidation>
  </dataValidations>
  <pageMargins left="0.7" right="0.7" top="0.75" bottom="0.75" header="0.3" footer="0.3"/>
  <pageSetup paperSize="256"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3C59B-C3EC-4A31-B322-7E53FE55DA41}">
  <sheetPr>
    <tabColor theme="0"/>
  </sheetPr>
  <dimension ref="A1:W58"/>
  <sheetViews>
    <sheetView zoomScaleNormal="100" workbookViewId="0">
      <selection activeCell="B7" sqref="B7"/>
    </sheetView>
  </sheetViews>
  <sheetFormatPr defaultRowHeight="14.4" x14ac:dyDescent="0.3"/>
  <cols>
    <col min="1" max="1" width="5.21875" customWidth="1"/>
    <col min="2" max="2" width="9.77734375" customWidth="1"/>
    <col min="3" max="3" width="16.21875" customWidth="1"/>
    <col min="4" max="4" width="21" customWidth="1"/>
    <col min="5" max="5" width="14.21875" customWidth="1"/>
    <col min="6" max="6" width="9.21875" style="290"/>
    <col min="7" max="7" width="20.21875" customWidth="1"/>
    <col min="8" max="8" width="18.21875" customWidth="1"/>
    <col min="9" max="9" width="14.21875" customWidth="1"/>
    <col min="10" max="10" width="11.77734375" style="290" customWidth="1"/>
    <col min="11" max="11" width="3.44140625" style="306" customWidth="1"/>
    <col min="12" max="12" width="24.77734375" customWidth="1"/>
    <col min="13" max="13" width="17.77734375" style="11" customWidth="1"/>
    <col min="14" max="14" width="14.21875" customWidth="1"/>
    <col min="15" max="15" width="10.77734375" customWidth="1"/>
    <col min="16" max="16" width="33.5546875" style="11" customWidth="1"/>
    <col min="17" max="17" width="23.77734375" style="11" customWidth="1"/>
  </cols>
  <sheetData>
    <row r="1" spans="1:23" ht="15" thickBot="1" x14ac:dyDescent="0.35"/>
    <row r="2" spans="1:23" ht="30.75" customHeight="1" thickBot="1" x14ac:dyDescent="0.35">
      <c r="A2" s="686"/>
      <c r="B2" s="687"/>
      <c r="C2" s="686"/>
      <c r="D2" s="690"/>
      <c r="E2" s="688"/>
      <c r="F2" s="688"/>
      <c r="G2" s="692" t="s">
        <v>78</v>
      </c>
      <c r="H2" s="688"/>
      <c r="I2" s="687"/>
      <c r="J2" s="687"/>
      <c r="K2" s="687"/>
      <c r="L2" s="687"/>
      <c r="M2" s="687"/>
      <c r="N2" s="687"/>
      <c r="O2" s="687"/>
      <c r="P2" s="687"/>
      <c r="Q2" s="687"/>
      <c r="R2" s="687"/>
      <c r="S2" s="689"/>
    </row>
    <row r="3" spans="1:23" ht="27.75" customHeight="1" x14ac:dyDescent="0.3">
      <c r="A3" s="407"/>
      <c r="B3" s="507"/>
      <c r="C3" s="507"/>
      <c r="D3" s="390"/>
      <c r="E3" s="507"/>
      <c r="F3" s="507"/>
      <c r="G3" s="507"/>
      <c r="H3" s="507"/>
      <c r="I3" s="507"/>
      <c r="J3" s="507"/>
      <c r="K3" s="408"/>
      <c r="L3" s="390"/>
      <c r="M3" s="387"/>
      <c r="N3" s="390"/>
      <c r="O3" s="390"/>
      <c r="P3" s="691" t="s">
        <v>88</v>
      </c>
      <c r="Q3" s="691" t="s">
        <v>89</v>
      </c>
      <c r="R3" s="390"/>
      <c r="S3" s="400"/>
      <c r="T3" s="588"/>
      <c r="U3" s="588"/>
      <c r="V3" s="588"/>
      <c r="W3" s="588"/>
    </row>
    <row r="4" spans="1:23" ht="135" customHeight="1" x14ac:dyDescent="0.3">
      <c r="A4" s="4"/>
      <c r="B4" s="385"/>
      <c r="C4" s="385"/>
      <c r="D4" s="410"/>
      <c r="E4" s="385"/>
      <c r="F4" s="411"/>
      <c r="G4" s="385"/>
      <c r="H4" s="385"/>
      <c r="I4" s="385"/>
      <c r="J4" s="411"/>
      <c r="K4" s="412"/>
      <c r="L4" s="390"/>
      <c r="M4" s="390"/>
      <c r="N4" s="390"/>
      <c r="O4" s="390"/>
      <c r="P4" s="649" t="s">
        <v>732</v>
      </c>
      <c r="Q4" s="649" t="s">
        <v>723</v>
      </c>
      <c r="R4" s="390"/>
      <c r="S4" s="400"/>
      <c r="T4" s="588"/>
      <c r="U4" s="588"/>
      <c r="V4" s="588"/>
      <c r="W4" s="588"/>
    </row>
    <row r="5" spans="1:23" ht="48.75" customHeight="1" thickBot="1" x14ac:dyDescent="0.35">
      <c r="A5" s="4"/>
      <c r="B5" s="811" t="s">
        <v>753</v>
      </c>
      <c r="C5" s="812"/>
      <c r="D5" s="813">
        <f>+Introduction!E10</f>
        <v>0</v>
      </c>
      <c r="E5" s="814"/>
      <c r="F5" s="650"/>
      <c r="G5" s="815" t="s">
        <v>724</v>
      </c>
      <c r="H5" s="816"/>
      <c r="I5" s="816"/>
      <c r="J5" s="651"/>
      <c r="K5" s="652"/>
      <c r="L5" s="390"/>
      <c r="M5" s="387"/>
      <c r="N5" s="390"/>
      <c r="O5" s="387"/>
      <c r="P5" s="653" t="s">
        <v>731</v>
      </c>
      <c r="Q5" s="654"/>
      <c r="R5" s="390"/>
      <c r="S5" s="400"/>
      <c r="T5" s="588"/>
      <c r="U5" s="588"/>
      <c r="V5" s="588"/>
      <c r="W5" s="588"/>
    </row>
    <row r="6" spans="1:23" ht="31.5" customHeight="1" thickBot="1" x14ac:dyDescent="0.35">
      <c r="A6" s="4"/>
      <c r="B6" s="811" t="s">
        <v>796</v>
      </c>
      <c r="C6" s="812"/>
      <c r="D6" s="813">
        <f>+Introduction!K10</f>
        <v>0</v>
      </c>
      <c r="E6" s="814"/>
      <c r="F6" s="650"/>
      <c r="G6" s="385"/>
      <c r="H6" s="385"/>
      <c r="I6" s="385"/>
      <c r="J6" s="655"/>
      <c r="K6" s="652"/>
      <c r="L6" s="390"/>
      <c r="M6" s="387"/>
      <c r="N6" s="390"/>
      <c r="O6" s="390"/>
      <c r="P6" s="693"/>
      <c r="Q6" s="387"/>
      <c r="R6" s="390"/>
      <c r="S6" s="400"/>
      <c r="T6" s="588"/>
      <c r="U6" s="588"/>
      <c r="V6" s="588"/>
      <c r="W6" s="588"/>
    </row>
    <row r="7" spans="1:23" ht="42" customHeight="1" x14ac:dyDescent="0.3">
      <c r="A7" s="4"/>
      <c r="B7" s="385"/>
      <c r="C7" s="656" t="s">
        <v>675</v>
      </c>
      <c r="D7" s="656"/>
      <c r="E7" s="656"/>
      <c r="F7" s="411"/>
      <c r="G7" s="656" t="s">
        <v>637</v>
      </c>
      <c r="H7" s="656"/>
      <c r="I7" s="656"/>
      <c r="J7" s="656"/>
      <c r="K7" s="412"/>
      <c r="L7" s="656" t="s">
        <v>638</v>
      </c>
      <c r="M7" s="657"/>
      <c r="N7" s="656"/>
      <c r="O7" s="656"/>
      <c r="P7" s="658"/>
      <c r="Q7" s="387"/>
      <c r="R7" s="390"/>
      <c r="S7" s="400"/>
      <c r="T7" s="588"/>
      <c r="U7" s="588"/>
      <c r="V7" s="588"/>
      <c r="W7" s="588"/>
    </row>
    <row r="8" spans="1:23" ht="49.8" x14ac:dyDescent="0.3">
      <c r="A8" s="4"/>
      <c r="B8" s="14" t="s">
        <v>79</v>
      </c>
      <c r="C8" s="48" t="s">
        <v>80</v>
      </c>
      <c r="D8" s="48" t="s">
        <v>81</v>
      </c>
      <c r="E8" s="48" t="s">
        <v>51</v>
      </c>
      <c r="F8" s="49"/>
      <c r="G8" s="15" t="s">
        <v>80</v>
      </c>
      <c r="H8" s="15" t="s">
        <v>81</v>
      </c>
      <c r="I8" s="15" t="s">
        <v>51</v>
      </c>
      <c r="J8" s="15" t="s">
        <v>95</v>
      </c>
      <c r="K8" s="409"/>
      <c r="L8" s="15" t="s">
        <v>80</v>
      </c>
      <c r="M8" s="15" t="s">
        <v>81</v>
      </c>
      <c r="N8" s="15" t="s">
        <v>51</v>
      </c>
      <c r="O8" s="15" t="s">
        <v>96</v>
      </c>
      <c r="P8" s="15" t="s">
        <v>88</v>
      </c>
      <c r="Q8" s="15" t="s">
        <v>89</v>
      </c>
      <c r="R8" s="390"/>
      <c r="S8" s="659" t="s">
        <v>712</v>
      </c>
      <c r="T8" s="647" t="s">
        <v>713</v>
      </c>
      <c r="U8" s="647" t="s">
        <v>714</v>
      </c>
      <c r="V8" s="647" t="s">
        <v>715</v>
      </c>
      <c r="W8" s="647" t="s">
        <v>711</v>
      </c>
    </row>
    <row r="9" spans="1:23" x14ac:dyDescent="0.3">
      <c r="A9" s="4"/>
      <c r="B9" s="15">
        <v>1</v>
      </c>
      <c r="C9" s="685">
        <f>+'1 Listed activity'!D8</f>
        <v>0</v>
      </c>
      <c r="D9" s="685">
        <f>+'1 Listed activity'!E8</f>
        <v>0</v>
      </c>
      <c r="E9" s="680" t="str">
        <f>+'1 Listed activity'!F8</f>
        <v/>
      </c>
      <c r="F9" s="584">
        <f t="shared" ref="F9:F38" si="0">+B9</f>
        <v>1</v>
      </c>
      <c r="G9" s="684" cm="1">
        <f t="array" ref="G9:I38">_xlfn.SORTBY(C9:E38,D9:D38,-1)</f>
        <v>0</v>
      </c>
      <c r="H9" s="684">
        <v>0</v>
      </c>
      <c r="I9" s="380" t="str">
        <v/>
      </c>
      <c r="J9" s="380" t="str">
        <f>IF(H9=0,"",IF(COUNTIF($H$9:H9,H9)&gt;3,"*Capped",I9))</f>
        <v/>
      </c>
      <c r="K9" s="584"/>
      <c r="L9" s="684" cm="1">
        <f t="array" ref="L9:O38">_xlfn.SORTBY(G9:J38,J9:J38,-1)</f>
        <v>0</v>
      </c>
      <c r="M9" s="684">
        <v>0</v>
      </c>
      <c r="N9" s="681" t="str">
        <v/>
      </c>
      <c r="O9" s="682" t="str">
        <v/>
      </c>
      <c r="P9" s="682" t="str">
        <f>IF(O9="E","E",IF(AND(T9=1,$P$6="yes",O9="D"),"E",IF(AND(U9=1,$P$6="yes",O9="C"),"D",IF(AND(V9=1,$P$6="yes",O9="b"),"c",IF(AND(W9=1,$P$6="yes",O9="a"),"b",IF($P$6="no",O9,O9))))))</f>
        <v/>
      </c>
      <c r="Q9" s="380" t="str">
        <f t="shared" ref="Q9:Q38" si="1">IF(P9=0,"",IF(AND(F9&gt;6,P9="E"),"D",IF(AND(F9&gt;6,P9="D"),"C",IF(AND(F9&gt;6,P9="C"),"B",IF(AND(F9&gt;6,P9="B"),"A",P9)))))</f>
        <v/>
      </c>
      <c r="R9" s="390"/>
      <c r="S9" s="660">
        <f>COUNTIF($O$9:O9,$S$8)</f>
        <v>0</v>
      </c>
      <c r="T9" s="648">
        <f>COUNTIF($O$9:O9,$T$8)</f>
        <v>0</v>
      </c>
      <c r="U9" s="648">
        <f>IF(T9=0,COUNTIF($O$9:O9,$U$8),0)</f>
        <v>0</v>
      </c>
      <c r="V9" s="648">
        <f>IF(U9=0,COUNTIF($O$9:O9,$V$8),0)</f>
        <v>0</v>
      </c>
      <c r="W9" s="648">
        <f>IF(V9=0,COUNTIF($O$9:O9,$W$8),0)</f>
        <v>0</v>
      </c>
    </row>
    <row r="10" spans="1:23" x14ac:dyDescent="0.3">
      <c r="A10" s="4"/>
      <c r="B10" s="15">
        <v>2</v>
      </c>
      <c r="C10" s="685">
        <f>+'1 Listed activity'!D9</f>
        <v>0</v>
      </c>
      <c r="D10" s="685">
        <f>+'1 Listed activity'!E9</f>
        <v>0</v>
      </c>
      <c r="E10" s="680" t="str">
        <f>+'1 Listed activity'!F9</f>
        <v/>
      </c>
      <c r="F10" s="584">
        <f t="shared" si="0"/>
        <v>2</v>
      </c>
      <c r="G10" s="684">
        <v>0</v>
      </c>
      <c r="H10" s="684">
        <v>0</v>
      </c>
      <c r="I10" s="380" t="str">
        <v/>
      </c>
      <c r="J10" s="380" t="str">
        <f>IF(H10=0,"",IF(COUNTIF($H$9:H10,H10)&gt;3,"*Capped",I10))</f>
        <v/>
      </c>
      <c r="K10" s="584"/>
      <c r="L10" s="684">
        <v>0</v>
      </c>
      <c r="M10" s="684">
        <v>0</v>
      </c>
      <c r="N10" s="681" t="str">
        <v/>
      </c>
      <c r="O10" s="682" t="str">
        <v/>
      </c>
      <c r="P10" s="682" t="str">
        <f t="shared" ref="P10:P38" si="2">IF(O10="E","E",IF(AND(T10=1,$P$6="yes",O10="D"),"E",IF(AND(U10=1,$P$6="yes",O10="C"),"D",IF(AND(V10=1,$P$6="yes",O10="b"),"c",IF(AND(W10=1,$P$6="yes",O10="a"),"b",IF($P$6="no",O10,O10))))))</f>
        <v/>
      </c>
      <c r="Q10" s="380" t="str">
        <f t="shared" si="1"/>
        <v/>
      </c>
      <c r="R10" s="390"/>
      <c r="S10" s="660">
        <f>COUNTIF($O$9:O10,$S$8)</f>
        <v>0</v>
      </c>
      <c r="T10" s="648">
        <f>COUNTIF($O$9:O10,$T$8)</f>
        <v>0</v>
      </c>
      <c r="U10" s="648">
        <f>IF(T10=0,COUNTIF($O$9:O10,$U$8),0)</f>
        <v>0</v>
      </c>
      <c r="V10" s="648">
        <f>IF(U10=0,COUNTIF($O$9:O10,$V$8),0)</f>
        <v>0</v>
      </c>
      <c r="W10" s="648">
        <f>IF(V10=0,COUNTIF($O$9:O10,$W$8),0)</f>
        <v>0</v>
      </c>
    </row>
    <row r="11" spans="1:23" x14ac:dyDescent="0.3">
      <c r="A11" s="4"/>
      <c r="B11" s="15">
        <v>3</v>
      </c>
      <c r="C11" s="685">
        <f>+'1 Listed activity'!D10</f>
        <v>0</v>
      </c>
      <c r="D11" s="685">
        <f>+'1 Listed activity'!E10</f>
        <v>0</v>
      </c>
      <c r="E11" s="680" t="str">
        <f>+'1 Listed activity'!F10</f>
        <v/>
      </c>
      <c r="F11" s="584">
        <f t="shared" si="0"/>
        <v>3</v>
      </c>
      <c r="G11" s="684">
        <v>0</v>
      </c>
      <c r="H11" s="684">
        <v>0</v>
      </c>
      <c r="I11" s="380" t="str">
        <v/>
      </c>
      <c r="J11" s="380" t="str">
        <f>IF(H11=0,"",IF(COUNTIF($H$9:H11,H11)&gt;3,"*Capped",I11))</f>
        <v/>
      </c>
      <c r="K11" s="584"/>
      <c r="L11" s="684">
        <v>0</v>
      </c>
      <c r="M11" s="684">
        <v>0</v>
      </c>
      <c r="N11" s="681" t="str">
        <v/>
      </c>
      <c r="O11" s="682" t="str">
        <v/>
      </c>
      <c r="P11" s="682" t="str">
        <f t="shared" si="2"/>
        <v/>
      </c>
      <c r="Q11" s="380" t="str">
        <f t="shared" si="1"/>
        <v/>
      </c>
      <c r="R11" s="390"/>
      <c r="S11" s="660">
        <f>COUNTIF($O$9:O11,$S$8)</f>
        <v>0</v>
      </c>
      <c r="T11" s="648">
        <f>COUNTIF($O$9:O11,$T$8)</f>
        <v>0</v>
      </c>
      <c r="U11" s="648">
        <f>IF(T11=0,COUNTIF($O$9:O11,$U$8),0)</f>
        <v>0</v>
      </c>
      <c r="V11" s="648">
        <f>IF(U11=0,COUNTIF($O$9:O11,$V$8),0)</f>
        <v>0</v>
      </c>
      <c r="W11" s="648">
        <f>IF(V11=0,COUNTIF($O$9:O11,$W$8),0)</f>
        <v>0</v>
      </c>
    </row>
    <row r="12" spans="1:23" x14ac:dyDescent="0.3">
      <c r="A12" s="4"/>
      <c r="B12" s="15">
        <v>4</v>
      </c>
      <c r="C12" s="685">
        <f>+'1 Listed activity'!D11</f>
        <v>0</v>
      </c>
      <c r="D12" s="685">
        <f>+'1 Listed activity'!E11</f>
        <v>0</v>
      </c>
      <c r="E12" s="680" t="str">
        <f>+'1 Listed activity'!F11</f>
        <v/>
      </c>
      <c r="F12" s="584">
        <f t="shared" si="0"/>
        <v>4</v>
      </c>
      <c r="G12" s="684">
        <v>0</v>
      </c>
      <c r="H12" s="684">
        <v>0</v>
      </c>
      <c r="I12" s="380" t="str">
        <v/>
      </c>
      <c r="J12" s="380" t="str">
        <f>IF(H12=0,"",IF(COUNTIF($H$9:H12,H12)&gt;3,"*Capped",I12))</f>
        <v/>
      </c>
      <c r="K12" s="584"/>
      <c r="L12" s="684">
        <v>0</v>
      </c>
      <c r="M12" s="684">
        <v>0</v>
      </c>
      <c r="N12" s="681" t="str">
        <v/>
      </c>
      <c r="O12" s="682" t="str">
        <v/>
      </c>
      <c r="P12" s="682" t="str">
        <f t="shared" si="2"/>
        <v/>
      </c>
      <c r="Q12" s="380" t="str">
        <f t="shared" si="1"/>
        <v/>
      </c>
      <c r="R12" s="390"/>
      <c r="S12" s="660">
        <f>COUNTIF($O$9:O12,$S$8)</f>
        <v>0</v>
      </c>
      <c r="T12" s="648">
        <f>COUNTIF($O$9:O12,$T$8)</f>
        <v>0</v>
      </c>
      <c r="U12" s="648">
        <f>IF(T12=0,COUNTIF($O$9:O12,$U$8),0)</f>
        <v>0</v>
      </c>
      <c r="V12" s="648">
        <f>IF(U12=0,COUNTIF($O$9:O12,$V$8),0)</f>
        <v>0</v>
      </c>
      <c r="W12" s="648">
        <f>IF(V12=0,COUNTIF($O$9:O12,$W$8),0)</f>
        <v>0</v>
      </c>
    </row>
    <row r="13" spans="1:23" x14ac:dyDescent="0.3">
      <c r="A13" s="4"/>
      <c r="B13" s="15">
        <v>5</v>
      </c>
      <c r="C13" s="685">
        <f>+'1 Listed activity'!D12</f>
        <v>0</v>
      </c>
      <c r="D13" s="685">
        <f>+'1 Listed activity'!E12</f>
        <v>0</v>
      </c>
      <c r="E13" s="680" t="str">
        <f>+'1 Listed activity'!F12</f>
        <v/>
      </c>
      <c r="F13" s="584">
        <f t="shared" si="0"/>
        <v>5</v>
      </c>
      <c r="G13" s="684">
        <v>0</v>
      </c>
      <c r="H13" s="684">
        <v>0</v>
      </c>
      <c r="I13" s="380" t="str">
        <v/>
      </c>
      <c r="J13" s="380" t="str">
        <f>IF(H13=0,"",IF(COUNTIF($H$9:H13,H13)&gt;3,"*Capped",I13))</f>
        <v/>
      </c>
      <c r="K13" s="584"/>
      <c r="L13" s="684">
        <v>0</v>
      </c>
      <c r="M13" s="684">
        <v>0</v>
      </c>
      <c r="N13" s="681" t="str">
        <v/>
      </c>
      <c r="O13" s="682" t="str">
        <v/>
      </c>
      <c r="P13" s="682" t="str">
        <f t="shared" si="2"/>
        <v/>
      </c>
      <c r="Q13" s="380" t="str">
        <f t="shared" si="1"/>
        <v/>
      </c>
      <c r="R13" s="390"/>
      <c r="S13" s="660">
        <f>COUNTIF($O$9:O13,$S$8)</f>
        <v>0</v>
      </c>
      <c r="T13" s="648">
        <f>COUNTIF($O$9:O13,$T$8)</f>
        <v>0</v>
      </c>
      <c r="U13" s="648">
        <f>IF(T13=0,COUNTIF($O$9:O13,$U$8),0)</f>
        <v>0</v>
      </c>
      <c r="V13" s="648">
        <f>IF(U13=0,COUNTIF($O$9:O13,$V$8),0)</f>
        <v>0</v>
      </c>
      <c r="W13" s="648">
        <f>IF(V13=0,COUNTIF($O$9:O13,$W$8),0)</f>
        <v>0</v>
      </c>
    </row>
    <row r="14" spans="1:23" ht="15" thickBot="1" x14ac:dyDescent="0.35">
      <c r="A14" s="4"/>
      <c r="B14" s="15">
        <v>6</v>
      </c>
      <c r="C14" s="685">
        <f>+'1 Listed activity'!D13</f>
        <v>0</v>
      </c>
      <c r="D14" s="685">
        <f>+'1 Listed activity'!E13</f>
        <v>0</v>
      </c>
      <c r="E14" s="680" t="str">
        <f>+'1 Listed activity'!F13</f>
        <v/>
      </c>
      <c r="F14" s="584">
        <f t="shared" si="0"/>
        <v>6</v>
      </c>
      <c r="G14" s="684">
        <v>0</v>
      </c>
      <c r="H14" s="684">
        <v>0</v>
      </c>
      <c r="I14" s="380" t="str">
        <v/>
      </c>
      <c r="J14" s="380" t="str">
        <f>IF(H14=0,"",IF(COUNTIF($H$9:H14,H14)&gt;3,"*Capped",I14))</f>
        <v/>
      </c>
      <c r="K14" s="584"/>
      <c r="L14" s="684">
        <v>0</v>
      </c>
      <c r="M14" s="684">
        <v>0</v>
      </c>
      <c r="N14" s="681" t="str">
        <v/>
      </c>
      <c r="O14" s="682" t="str">
        <v/>
      </c>
      <c r="P14" s="682" t="str">
        <f t="shared" si="2"/>
        <v/>
      </c>
      <c r="Q14" s="679" t="str">
        <f t="shared" si="1"/>
        <v/>
      </c>
      <c r="R14" s="683"/>
      <c r="S14" s="660">
        <f>COUNTIF($O$9:O14,$S$8)</f>
        <v>0</v>
      </c>
      <c r="T14" s="648">
        <f>COUNTIF($O$9:O14,$T$8)</f>
        <v>0</v>
      </c>
      <c r="U14" s="648">
        <f>IF(T14=0,COUNTIF($O$9:O14,$U$8),0)</f>
        <v>0</v>
      </c>
      <c r="V14" s="648">
        <f>IF(U14=0,COUNTIF($O$9:O14,$V$8),0)</f>
        <v>0</v>
      </c>
      <c r="W14" s="648">
        <f>IF(V14=0,COUNTIF($O$9:O14,$W$8),0)</f>
        <v>0</v>
      </c>
    </row>
    <row r="15" spans="1:23" x14ac:dyDescent="0.3">
      <c r="A15" s="4"/>
      <c r="B15" s="15">
        <v>7</v>
      </c>
      <c r="C15" s="685">
        <f>+'1 Listed activity'!D14</f>
        <v>0</v>
      </c>
      <c r="D15" s="685">
        <f>+'1 Listed activity'!E14</f>
        <v>0</v>
      </c>
      <c r="E15" s="680" t="str">
        <f>+'1 Listed activity'!F14</f>
        <v/>
      </c>
      <c r="F15" s="584">
        <f t="shared" si="0"/>
        <v>7</v>
      </c>
      <c r="G15" s="684">
        <v>0</v>
      </c>
      <c r="H15" s="684">
        <v>0</v>
      </c>
      <c r="I15" s="380" t="str">
        <v/>
      </c>
      <c r="J15" s="380" t="str">
        <f>IF(H15=0,"",IF(COUNTIF($H$9:H15,H15)&gt;3,"*Capped",I15))</f>
        <v/>
      </c>
      <c r="K15" s="584"/>
      <c r="L15" s="684">
        <v>0</v>
      </c>
      <c r="M15" s="684">
        <v>0</v>
      </c>
      <c r="N15" s="681" t="str">
        <v/>
      </c>
      <c r="O15" s="682" t="str">
        <v/>
      </c>
      <c r="P15" s="682" t="str">
        <f t="shared" si="2"/>
        <v/>
      </c>
      <c r="Q15" s="678" t="str">
        <f t="shared" si="1"/>
        <v/>
      </c>
      <c r="R15" s="683"/>
      <c r="S15" s="660">
        <f>COUNTIF($O$9:O15,$S$8)</f>
        <v>0</v>
      </c>
      <c r="T15" s="648">
        <f>COUNTIF($O$9:O15,$T$8)</f>
        <v>0</v>
      </c>
      <c r="U15" s="648">
        <f>IF(T15=0,COUNTIF($O$9:O15,$U$8),0)</f>
        <v>0</v>
      </c>
      <c r="V15" s="648">
        <f>IF(U15=0,COUNTIF($O$9:O15,$V$8),0)</f>
        <v>0</v>
      </c>
      <c r="W15" s="648">
        <f>IF(V15=0,COUNTIF($O$9:O15,$W$8),0)</f>
        <v>0</v>
      </c>
    </row>
    <row r="16" spans="1:23" x14ac:dyDescent="0.3">
      <c r="A16" s="4"/>
      <c r="B16" s="15">
        <v>8</v>
      </c>
      <c r="C16" s="685">
        <f>+'1 Listed activity'!D15</f>
        <v>0</v>
      </c>
      <c r="D16" s="685">
        <f>+'1 Listed activity'!E15</f>
        <v>0</v>
      </c>
      <c r="E16" s="680" t="str">
        <f>+'1 Listed activity'!F15</f>
        <v/>
      </c>
      <c r="F16" s="584">
        <f t="shared" si="0"/>
        <v>8</v>
      </c>
      <c r="G16" s="684">
        <v>0</v>
      </c>
      <c r="H16" s="684">
        <v>0</v>
      </c>
      <c r="I16" s="380" t="str">
        <v/>
      </c>
      <c r="J16" s="380" t="str">
        <f>IF(H16=0,"",IF(COUNTIF($H$9:H16,H16)&gt;3,"*Capped",I16))</f>
        <v/>
      </c>
      <c r="K16" s="584"/>
      <c r="L16" s="684">
        <v>0</v>
      </c>
      <c r="M16" s="684">
        <v>0</v>
      </c>
      <c r="N16" s="681" t="str">
        <v/>
      </c>
      <c r="O16" s="682" t="str">
        <v/>
      </c>
      <c r="P16" s="682" t="str">
        <f t="shared" si="2"/>
        <v/>
      </c>
      <c r="Q16" s="380" t="str">
        <f t="shared" si="1"/>
        <v/>
      </c>
      <c r="R16" s="390"/>
      <c r="S16" s="660">
        <f>COUNTIF($O$9:O16,$S$8)</f>
        <v>0</v>
      </c>
      <c r="T16" s="648">
        <f>COUNTIF($O$9:O16,$T$8)</f>
        <v>0</v>
      </c>
      <c r="U16" s="648">
        <f>IF(T16=0,COUNTIF($O$9:O16,$U$8),0)</f>
        <v>0</v>
      </c>
      <c r="V16" s="648">
        <f>IF(U16=0,COUNTIF($O$9:O16,$V$8),0)</f>
        <v>0</v>
      </c>
      <c r="W16" s="648">
        <f>IF(V16=0,COUNTIF($O$9:O16,$W$8),0)</f>
        <v>0</v>
      </c>
    </row>
    <row r="17" spans="1:23" x14ac:dyDescent="0.3">
      <c r="A17" s="4"/>
      <c r="B17" s="15">
        <v>9</v>
      </c>
      <c r="C17" s="685">
        <f>+'1 Listed activity'!D16</f>
        <v>0</v>
      </c>
      <c r="D17" s="685">
        <f>+'1 Listed activity'!E16</f>
        <v>0</v>
      </c>
      <c r="E17" s="680" t="str">
        <f>+'1 Listed activity'!F16</f>
        <v/>
      </c>
      <c r="F17" s="584">
        <f t="shared" si="0"/>
        <v>9</v>
      </c>
      <c r="G17" s="684">
        <v>0</v>
      </c>
      <c r="H17" s="684">
        <v>0</v>
      </c>
      <c r="I17" s="380" t="str">
        <v/>
      </c>
      <c r="J17" s="380" t="str">
        <f>IF(H17=0,"",IF(COUNTIF($H$9:H17,H17)&gt;3,"*Capped",I17))</f>
        <v/>
      </c>
      <c r="K17" s="584"/>
      <c r="L17" s="684">
        <v>0</v>
      </c>
      <c r="M17" s="684">
        <v>0</v>
      </c>
      <c r="N17" s="681" t="str">
        <v/>
      </c>
      <c r="O17" s="682" t="str">
        <v/>
      </c>
      <c r="P17" s="682" t="str">
        <f t="shared" si="2"/>
        <v/>
      </c>
      <c r="Q17" s="380" t="str">
        <f t="shared" si="1"/>
        <v/>
      </c>
      <c r="R17" s="390"/>
      <c r="S17" s="660">
        <f>COUNTIF($O$9:O17,$S$8)</f>
        <v>0</v>
      </c>
      <c r="T17" s="648">
        <f>COUNTIF($O$9:O17,$T$8)</f>
        <v>0</v>
      </c>
      <c r="U17" s="648">
        <f>IF(T17=0,COUNTIF($O$9:O17,$U$8),0)</f>
        <v>0</v>
      </c>
      <c r="V17" s="648">
        <f>IF(U17=0,COUNTIF($O$9:O17,$V$8),0)</f>
        <v>0</v>
      </c>
      <c r="W17" s="648">
        <f>IF(V17=0,COUNTIF($O$9:O17,$W$8),0)</f>
        <v>0</v>
      </c>
    </row>
    <row r="18" spans="1:23" x14ac:dyDescent="0.3">
      <c r="A18" s="4"/>
      <c r="B18" s="15">
        <v>10</v>
      </c>
      <c r="C18" s="685">
        <f>+'1 Listed activity'!D17</f>
        <v>0</v>
      </c>
      <c r="D18" s="685">
        <f>+'1 Listed activity'!E17</f>
        <v>0</v>
      </c>
      <c r="E18" s="680" t="str">
        <f>+'1 Listed activity'!F17</f>
        <v/>
      </c>
      <c r="F18" s="584">
        <f t="shared" si="0"/>
        <v>10</v>
      </c>
      <c r="G18" s="684">
        <v>0</v>
      </c>
      <c r="H18" s="684">
        <v>0</v>
      </c>
      <c r="I18" s="380" t="str">
        <v/>
      </c>
      <c r="J18" s="380" t="str">
        <f>IF(H18=0,"",IF(COUNTIF($H$9:H18,H18)&gt;3,"*Capped",I18))</f>
        <v/>
      </c>
      <c r="K18" s="584"/>
      <c r="L18" s="684">
        <v>0</v>
      </c>
      <c r="M18" s="684">
        <v>0</v>
      </c>
      <c r="N18" s="681" t="str">
        <v/>
      </c>
      <c r="O18" s="682" t="str">
        <v/>
      </c>
      <c r="P18" s="682" t="str">
        <f t="shared" si="2"/>
        <v/>
      </c>
      <c r="Q18" s="380" t="str">
        <f t="shared" si="1"/>
        <v/>
      </c>
      <c r="R18" s="390"/>
      <c r="S18" s="660">
        <f>COUNTIF($O$9:O18,$S$8)</f>
        <v>0</v>
      </c>
      <c r="T18" s="648">
        <f>COUNTIF($O$9:O18,$T$8)</f>
        <v>0</v>
      </c>
      <c r="U18" s="648">
        <f>IF(T18=0,COUNTIF($O$9:O18,$U$8),0)</f>
        <v>0</v>
      </c>
      <c r="V18" s="648">
        <f>IF(U18=0,COUNTIF($O$9:O18,$V$8),0)</f>
        <v>0</v>
      </c>
      <c r="W18" s="648">
        <f>IF(V18=0,COUNTIF($O$9:O18,$W$8),0)</f>
        <v>0</v>
      </c>
    </row>
    <row r="19" spans="1:23" x14ac:dyDescent="0.3">
      <c r="A19" s="4"/>
      <c r="B19" s="15">
        <v>11</v>
      </c>
      <c r="C19" s="685">
        <f>+'1 Listed activity'!D18</f>
        <v>0</v>
      </c>
      <c r="D19" s="685">
        <f>+'1 Listed activity'!E18</f>
        <v>0</v>
      </c>
      <c r="E19" s="680" t="str">
        <f>+'1 Listed activity'!F18</f>
        <v/>
      </c>
      <c r="F19" s="584">
        <f t="shared" si="0"/>
        <v>11</v>
      </c>
      <c r="G19" s="684">
        <v>0</v>
      </c>
      <c r="H19" s="684">
        <v>0</v>
      </c>
      <c r="I19" s="380" t="str">
        <v/>
      </c>
      <c r="J19" s="380" t="str">
        <f>IF(H19=0,"",IF(COUNTIF($H$9:H19,H19)&gt;3,"*Capped",I19))</f>
        <v/>
      </c>
      <c r="K19" s="584"/>
      <c r="L19" s="684">
        <v>0</v>
      </c>
      <c r="M19" s="684">
        <v>0</v>
      </c>
      <c r="N19" s="681" t="str">
        <v/>
      </c>
      <c r="O19" s="682" t="str">
        <v/>
      </c>
      <c r="P19" s="682" t="str">
        <f t="shared" si="2"/>
        <v/>
      </c>
      <c r="Q19" s="380" t="str">
        <f t="shared" si="1"/>
        <v/>
      </c>
      <c r="R19" s="390"/>
      <c r="S19" s="660">
        <f>COUNTIF($O$9:O19,$S$8)</f>
        <v>0</v>
      </c>
      <c r="T19" s="648">
        <f>COUNTIF($O$9:O19,$T$8)</f>
        <v>0</v>
      </c>
      <c r="U19" s="648">
        <f>IF(T19=0,COUNTIF($O$9:O19,$U$8),0)</f>
        <v>0</v>
      </c>
      <c r="V19" s="648">
        <f>IF(U19=0,COUNTIF($O$9:O19,$V$8),0)</f>
        <v>0</v>
      </c>
      <c r="W19" s="648">
        <f>IF(V19=0,COUNTIF($O$9:O19,$W$8),0)</f>
        <v>0</v>
      </c>
    </row>
    <row r="20" spans="1:23" x14ac:dyDescent="0.3">
      <c r="A20" s="4"/>
      <c r="B20" s="15">
        <v>12</v>
      </c>
      <c r="C20" s="685">
        <f>+'1 Listed activity'!D19</f>
        <v>0</v>
      </c>
      <c r="D20" s="685">
        <f>+'1 Listed activity'!E19</f>
        <v>0</v>
      </c>
      <c r="E20" s="680" t="str">
        <f>+'1 Listed activity'!F19</f>
        <v/>
      </c>
      <c r="F20" s="584">
        <f t="shared" si="0"/>
        <v>12</v>
      </c>
      <c r="G20" s="684">
        <v>0</v>
      </c>
      <c r="H20" s="684">
        <v>0</v>
      </c>
      <c r="I20" s="380" t="str">
        <v/>
      </c>
      <c r="J20" s="380" t="str">
        <f>IF(H20=0,"",IF(COUNTIF($H$9:H20,H20)&gt;3,"*Capped",I20))</f>
        <v/>
      </c>
      <c r="K20" s="584"/>
      <c r="L20" s="684">
        <v>0</v>
      </c>
      <c r="M20" s="684">
        <v>0</v>
      </c>
      <c r="N20" s="681" t="str">
        <v/>
      </c>
      <c r="O20" s="682" t="str">
        <v/>
      </c>
      <c r="P20" s="682" t="str">
        <f t="shared" si="2"/>
        <v/>
      </c>
      <c r="Q20" s="380" t="str">
        <f t="shared" si="1"/>
        <v/>
      </c>
      <c r="R20" s="390"/>
      <c r="S20" s="660">
        <f>COUNTIF($O$9:O20,$S$8)</f>
        <v>0</v>
      </c>
      <c r="T20" s="648">
        <f>COUNTIF($O$9:O20,$T$8)</f>
        <v>0</v>
      </c>
      <c r="U20" s="648">
        <f>IF(T20=0,COUNTIF($O$9:O20,$U$8),0)</f>
        <v>0</v>
      </c>
      <c r="V20" s="648">
        <f>IF(U20=0,COUNTIF($O$9:O20,$V$8),0)</f>
        <v>0</v>
      </c>
      <c r="W20" s="648">
        <f>IF(V20=0,COUNTIF($O$9:O20,$W$8),0)</f>
        <v>0</v>
      </c>
    </row>
    <row r="21" spans="1:23" x14ac:dyDescent="0.3">
      <c r="A21" s="4"/>
      <c r="B21" s="15">
        <v>13</v>
      </c>
      <c r="C21" s="685">
        <f>+'1 Listed activity'!D20</f>
        <v>0</v>
      </c>
      <c r="D21" s="685">
        <f>+'1 Listed activity'!E20</f>
        <v>0</v>
      </c>
      <c r="E21" s="680" t="str">
        <f>+'1 Listed activity'!F20</f>
        <v/>
      </c>
      <c r="F21" s="584">
        <f t="shared" si="0"/>
        <v>13</v>
      </c>
      <c r="G21" s="684">
        <v>0</v>
      </c>
      <c r="H21" s="684">
        <v>0</v>
      </c>
      <c r="I21" s="380" t="str">
        <v/>
      </c>
      <c r="J21" s="380" t="str">
        <f>IF(H21=0,"",IF(COUNTIF($H$9:H21,H21)&gt;3,"*Capped",I21))</f>
        <v/>
      </c>
      <c r="K21" s="584"/>
      <c r="L21" s="684">
        <v>0</v>
      </c>
      <c r="M21" s="684">
        <v>0</v>
      </c>
      <c r="N21" s="681" t="str">
        <v/>
      </c>
      <c r="O21" s="682" t="str">
        <v/>
      </c>
      <c r="P21" s="682" t="str">
        <f t="shared" si="2"/>
        <v/>
      </c>
      <c r="Q21" s="380" t="str">
        <f t="shared" si="1"/>
        <v/>
      </c>
      <c r="R21" s="390"/>
      <c r="S21" s="660">
        <f>COUNTIF($O$9:O21,$S$8)</f>
        <v>0</v>
      </c>
      <c r="T21" s="648">
        <f>COUNTIF($O$9:O21,$T$8)</f>
        <v>0</v>
      </c>
      <c r="U21" s="648">
        <f>IF(T21=0,COUNTIF($O$9:O21,$U$8),0)</f>
        <v>0</v>
      </c>
      <c r="V21" s="648">
        <f>IF(U21=0,COUNTIF($O$9:O21,$V$8),0)</f>
        <v>0</v>
      </c>
      <c r="W21" s="648">
        <f>IF(V21=0,COUNTIF($O$9:O21,$W$8),0)</f>
        <v>0</v>
      </c>
    </row>
    <row r="22" spans="1:23" x14ac:dyDescent="0.3">
      <c r="A22" s="4"/>
      <c r="B22" s="15">
        <v>14</v>
      </c>
      <c r="C22" s="685">
        <f>+'1 Listed activity'!D21</f>
        <v>0</v>
      </c>
      <c r="D22" s="685">
        <f>+'1 Listed activity'!E21</f>
        <v>0</v>
      </c>
      <c r="E22" s="680" t="str">
        <f>+'1 Listed activity'!F21</f>
        <v/>
      </c>
      <c r="F22" s="584">
        <f t="shared" si="0"/>
        <v>14</v>
      </c>
      <c r="G22" s="684">
        <v>0</v>
      </c>
      <c r="H22" s="684">
        <v>0</v>
      </c>
      <c r="I22" s="380" t="str">
        <v/>
      </c>
      <c r="J22" s="380" t="str">
        <f>IF(H22=0,"",IF(COUNTIF($H$9:H22,H22)&gt;3,"*Capped",I22))</f>
        <v/>
      </c>
      <c r="K22" s="584"/>
      <c r="L22" s="684">
        <v>0</v>
      </c>
      <c r="M22" s="684">
        <v>0</v>
      </c>
      <c r="N22" s="681" t="str">
        <v/>
      </c>
      <c r="O22" s="682" t="str">
        <v/>
      </c>
      <c r="P22" s="682" t="str">
        <f t="shared" si="2"/>
        <v/>
      </c>
      <c r="Q22" s="380" t="str">
        <f t="shared" si="1"/>
        <v/>
      </c>
      <c r="R22" s="390"/>
      <c r="S22" s="660">
        <f>COUNTIF($O$9:O22,$S$8)</f>
        <v>0</v>
      </c>
      <c r="T22" s="648">
        <f>COUNTIF($O$9:O22,$T$8)</f>
        <v>0</v>
      </c>
      <c r="U22" s="648">
        <f>IF(T22=0,COUNTIF($O$9:O22,$U$8),0)</f>
        <v>0</v>
      </c>
      <c r="V22" s="648">
        <f>IF(U22=0,COUNTIF($O$9:O22,$V$8),0)</f>
        <v>0</v>
      </c>
      <c r="W22" s="648">
        <f>IF(V22=0,COUNTIF($O$9:O22,$W$8),0)</f>
        <v>0</v>
      </c>
    </row>
    <row r="23" spans="1:23" x14ac:dyDescent="0.3">
      <c r="A23" s="4"/>
      <c r="B23" s="15">
        <v>15</v>
      </c>
      <c r="C23" s="685">
        <f>+'1 Listed activity'!D22</f>
        <v>0</v>
      </c>
      <c r="D23" s="685">
        <f>+'1 Listed activity'!E22</f>
        <v>0</v>
      </c>
      <c r="E23" s="680" t="str">
        <f>+'1 Listed activity'!F22</f>
        <v/>
      </c>
      <c r="F23" s="584">
        <f t="shared" si="0"/>
        <v>15</v>
      </c>
      <c r="G23" s="684">
        <v>0</v>
      </c>
      <c r="H23" s="684">
        <v>0</v>
      </c>
      <c r="I23" s="380" t="str">
        <v/>
      </c>
      <c r="J23" s="380" t="str">
        <f>IF(H23=0,"",IF(COUNTIF($H$9:H23,H23)&gt;3,"*Capped",I23))</f>
        <v/>
      </c>
      <c r="K23" s="584"/>
      <c r="L23" s="684">
        <v>0</v>
      </c>
      <c r="M23" s="684">
        <v>0</v>
      </c>
      <c r="N23" s="681" t="str">
        <v/>
      </c>
      <c r="O23" s="682" t="str">
        <v/>
      </c>
      <c r="P23" s="682" t="str">
        <f t="shared" si="2"/>
        <v/>
      </c>
      <c r="Q23" s="380" t="str">
        <f t="shared" si="1"/>
        <v/>
      </c>
      <c r="R23" s="390"/>
      <c r="S23" s="660">
        <f>COUNTIF($O$9:O23,$S$8)</f>
        <v>0</v>
      </c>
      <c r="T23" s="648">
        <f>COUNTIF($O$9:O23,$T$8)</f>
        <v>0</v>
      </c>
      <c r="U23" s="648">
        <f>IF(T23=0,COUNTIF($O$9:O23,$U$8),0)</f>
        <v>0</v>
      </c>
      <c r="V23" s="648">
        <f>IF(U23=0,COUNTIF($O$9:O23,$V$8),0)</f>
        <v>0</v>
      </c>
      <c r="W23" s="648">
        <f>IF(V23=0,COUNTIF($O$9:O23,$W$8),0)</f>
        <v>0</v>
      </c>
    </row>
    <row r="24" spans="1:23" x14ac:dyDescent="0.3">
      <c r="A24" s="4"/>
      <c r="B24" s="15">
        <v>16</v>
      </c>
      <c r="C24" s="685">
        <f>+'1 Listed activity'!D23</f>
        <v>0</v>
      </c>
      <c r="D24" s="685">
        <f>+'1 Listed activity'!E23</f>
        <v>0</v>
      </c>
      <c r="E24" s="680" t="str">
        <f>+'1 Listed activity'!F23</f>
        <v/>
      </c>
      <c r="F24" s="584">
        <f t="shared" si="0"/>
        <v>16</v>
      </c>
      <c r="G24" s="684">
        <v>0</v>
      </c>
      <c r="H24" s="684">
        <v>0</v>
      </c>
      <c r="I24" s="380" t="str">
        <v/>
      </c>
      <c r="J24" s="380" t="str">
        <f>IF(H24=0,"",IF(COUNTIF($H$9:H24,H24)&gt;3,"*Capped",I24))</f>
        <v/>
      </c>
      <c r="K24" s="584"/>
      <c r="L24" s="684">
        <v>0</v>
      </c>
      <c r="M24" s="684">
        <v>0</v>
      </c>
      <c r="N24" s="681" t="str">
        <v/>
      </c>
      <c r="O24" s="682" t="str">
        <v/>
      </c>
      <c r="P24" s="682" t="str">
        <f t="shared" si="2"/>
        <v/>
      </c>
      <c r="Q24" s="380" t="str">
        <f t="shared" si="1"/>
        <v/>
      </c>
      <c r="R24" s="390"/>
      <c r="S24" s="660">
        <f>COUNTIF($O$9:O24,$S$8)</f>
        <v>0</v>
      </c>
      <c r="T24" s="648">
        <f>COUNTIF($O$9:O24,$T$8)</f>
        <v>0</v>
      </c>
      <c r="U24" s="648">
        <f>IF(T24=0,COUNTIF($O$9:O24,$U$8),0)</f>
        <v>0</v>
      </c>
      <c r="V24" s="648">
        <f>IF(U24=0,COUNTIF($O$9:O24,$V$8),0)</f>
        <v>0</v>
      </c>
      <c r="W24" s="648">
        <f>IF(V24=0,COUNTIF($O$9:O24,$W$8),0)</f>
        <v>0</v>
      </c>
    </row>
    <row r="25" spans="1:23" x14ac:dyDescent="0.3">
      <c r="A25" s="4"/>
      <c r="B25" s="15">
        <v>17</v>
      </c>
      <c r="C25" s="685">
        <f>+'1 Listed activity'!D24</f>
        <v>0</v>
      </c>
      <c r="D25" s="685">
        <f>+'1 Listed activity'!E24</f>
        <v>0</v>
      </c>
      <c r="E25" s="680" t="str">
        <f>+'1 Listed activity'!F24</f>
        <v/>
      </c>
      <c r="F25" s="584">
        <f t="shared" si="0"/>
        <v>17</v>
      </c>
      <c r="G25" s="684">
        <v>0</v>
      </c>
      <c r="H25" s="684">
        <v>0</v>
      </c>
      <c r="I25" s="380" t="str">
        <v/>
      </c>
      <c r="J25" s="380" t="str">
        <f>IF(H25=0,"",IF(COUNTIF($H$9:H25,H25)&gt;3,"*Capped",I25))</f>
        <v/>
      </c>
      <c r="K25" s="584"/>
      <c r="L25" s="684">
        <v>0</v>
      </c>
      <c r="M25" s="684">
        <v>0</v>
      </c>
      <c r="N25" s="681" t="str">
        <v/>
      </c>
      <c r="O25" s="682" t="str">
        <v/>
      </c>
      <c r="P25" s="682" t="str">
        <f t="shared" si="2"/>
        <v/>
      </c>
      <c r="Q25" s="380" t="str">
        <f t="shared" si="1"/>
        <v/>
      </c>
      <c r="R25" s="390"/>
      <c r="S25" s="660">
        <f>COUNTIF($O$9:O25,$S$8)</f>
        <v>0</v>
      </c>
      <c r="T25" s="648">
        <f>COUNTIF($O$9:O25,$T$8)</f>
        <v>0</v>
      </c>
      <c r="U25" s="648">
        <f>IF(T25=0,COUNTIF($O$9:O25,$U$8),0)</f>
        <v>0</v>
      </c>
      <c r="V25" s="648">
        <f>IF(U25=0,COUNTIF($O$9:O25,$V$8),0)</f>
        <v>0</v>
      </c>
      <c r="W25" s="648">
        <f>IF(V25=0,COUNTIF($O$9:O25,$W$8),0)</f>
        <v>0</v>
      </c>
    </row>
    <row r="26" spans="1:23" x14ac:dyDescent="0.3">
      <c r="A26" s="4"/>
      <c r="B26" s="15">
        <v>18</v>
      </c>
      <c r="C26" s="685">
        <f>+'1 Listed activity'!D25</f>
        <v>0</v>
      </c>
      <c r="D26" s="685">
        <f>+'1 Listed activity'!E25</f>
        <v>0</v>
      </c>
      <c r="E26" s="680" t="str">
        <f>+'1 Listed activity'!F25</f>
        <v/>
      </c>
      <c r="F26" s="584">
        <f t="shared" si="0"/>
        <v>18</v>
      </c>
      <c r="G26" s="684">
        <v>0</v>
      </c>
      <c r="H26" s="684">
        <v>0</v>
      </c>
      <c r="I26" s="380" t="str">
        <v/>
      </c>
      <c r="J26" s="380" t="str">
        <f>IF(H26=0,"",IF(COUNTIF($H$9:H26,H26)&gt;3,"*Capped",I26))</f>
        <v/>
      </c>
      <c r="K26" s="584"/>
      <c r="L26" s="684">
        <v>0</v>
      </c>
      <c r="M26" s="684">
        <v>0</v>
      </c>
      <c r="N26" s="681" t="str">
        <v/>
      </c>
      <c r="O26" s="682" t="str">
        <v/>
      </c>
      <c r="P26" s="682" t="str">
        <f t="shared" si="2"/>
        <v/>
      </c>
      <c r="Q26" s="380" t="str">
        <f t="shared" si="1"/>
        <v/>
      </c>
      <c r="R26" s="390"/>
      <c r="S26" s="660">
        <f>COUNTIF($O$9:O26,$S$8)</f>
        <v>0</v>
      </c>
      <c r="T26" s="648">
        <f>COUNTIF($O$9:O26,$T$8)</f>
        <v>0</v>
      </c>
      <c r="U26" s="648">
        <f>IF(T26=0,COUNTIF($O$9:O26,$U$8),0)</f>
        <v>0</v>
      </c>
      <c r="V26" s="648">
        <f>IF(U26=0,COUNTIF($O$9:O26,$V$8),0)</f>
        <v>0</v>
      </c>
      <c r="W26" s="648">
        <f>IF(V26=0,COUNTIF($O$9:O26,$W$8),0)</f>
        <v>0</v>
      </c>
    </row>
    <row r="27" spans="1:23" x14ac:dyDescent="0.3">
      <c r="A27" s="4"/>
      <c r="B27" s="15">
        <v>19</v>
      </c>
      <c r="C27" s="685">
        <f>+'1 Listed activity'!D26</f>
        <v>0</v>
      </c>
      <c r="D27" s="685">
        <f>+'1 Listed activity'!E26</f>
        <v>0</v>
      </c>
      <c r="E27" s="680" t="str">
        <f>+'1 Listed activity'!F26</f>
        <v/>
      </c>
      <c r="F27" s="584">
        <f t="shared" si="0"/>
        <v>19</v>
      </c>
      <c r="G27" s="684">
        <v>0</v>
      </c>
      <c r="H27" s="684">
        <v>0</v>
      </c>
      <c r="I27" s="380" t="str">
        <v/>
      </c>
      <c r="J27" s="380" t="str">
        <f>IF(H27=0,"",IF(COUNTIF($H$9:H27,H27)&gt;3,"*Capped",I27))</f>
        <v/>
      </c>
      <c r="K27" s="584"/>
      <c r="L27" s="684">
        <v>0</v>
      </c>
      <c r="M27" s="684">
        <v>0</v>
      </c>
      <c r="N27" s="681" t="str">
        <v/>
      </c>
      <c r="O27" s="682" t="str">
        <v/>
      </c>
      <c r="P27" s="682" t="str">
        <f t="shared" si="2"/>
        <v/>
      </c>
      <c r="Q27" s="380" t="str">
        <f t="shared" si="1"/>
        <v/>
      </c>
      <c r="R27" s="390"/>
      <c r="S27" s="660">
        <f>COUNTIF($O$9:O27,$S$8)</f>
        <v>0</v>
      </c>
      <c r="T27" s="648">
        <f>COUNTIF($O$9:O27,$T$8)</f>
        <v>0</v>
      </c>
      <c r="U27" s="648">
        <f>IF(T27=0,COUNTIF($O$9:O27,$U$8),0)</f>
        <v>0</v>
      </c>
      <c r="V27" s="648">
        <f>IF(U27=0,COUNTIF($O$9:O27,$V$8),0)</f>
        <v>0</v>
      </c>
      <c r="W27" s="648">
        <f>IF(V27=0,COUNTIF($O$9:O27,$W$8),0)</f>
        <v>0</v>
      </c>
    </row>
    <row r="28" spans="1:23" x14ac:dyDescent="0.3">
      <c r="A28" s="4"/>
      <c r="B28" s="15">
        <v>20</v>
      </c>
      <c r="C28" s="685">
        <f>+'1 Listed activity'!D27</f>
        <v>0</v>
      </c>
      <c r="D28" s="685">
        <f>+'1 Listed activity'!E27</f>
        <v>0</v>
      </c>
      <c r="E28" s="680" t="str">
        <f>+'1 Listed activity'!F27</f>
        <v/>
      </c>
      <c r="F28" s="584">
        <f t="shared" si="0"/>
        <v>20</v>
      </c>
      <c r="G28" s="684">
        <v>0</v>
      </c>
      <c r="H28" s="684">
        <v>0</v>
      </c>
      <c r="I28" s="380" t="str">
        <v/>
      </c>
      <c r="J28" s="380" t="str">
        <f>IF(H28=0,"",IF(COUNTIF($H$9:H28,H28)&gt;3,"*Capped",I28))</f>
        <v/>
      </c>
      <c r="K28" s="584"/>
      <c r="L28" s="684">
        <v>0</v>
      </c>
      <c r="M28" s="684">
        <v>0</v>
      </c>
      <c r="N28" s="681" t="str">
        <v/>
      </c>
      <c r="O28" s="682" t="str">
        <v/>
      </c>
      <c r="P28" s="682" t="str">
        <f t="shared" si="2"/>
        <v/>
      </c>
      <c r="Q28" s="380" t="str">
        <f t="shared" si="1"/>
        <v/>
      </c>
      <c r="R28" s="390"/>
      <c r="S28" s="660">
        <f>COUNTIF($O$9:O28,$S$8)</f>
        <v>0</v>
      </c>
      <c r="T28" s="648">
        <f>COUNTIF($O$9:O28,$T$8)</f>
        <v>0</v>
      </c>
      <c r="U28" s="648">
        <f>IF(T28=0,COUNTIF($O$9:O28,$U$8),0)</f>
        <v>0</v>
      </c>
      <c r="V28" s="648">
        <f>IF(U28=0,COUNTIF($O$9:O28,$V$8),0)</f>
        <v>0</v>
      </c>
      <c r="W28" s="648">
        <f>IF(V28=0,COUNTIF($O$9:O28,$W$8),0)</f>
        <v>0</v>
      </c>
    </row>
    <row r="29" spans="1:23" x14ac:dyDescent="0.3">
      <c r="A29" s="4"/>
      <c r="B29" s="15">
        <v>21</v>
      </c>
      <c r="C29" s="685">
        <f>+'1 Listed activity'!D28</f>
        <v>0</v>
      </c>
      <c r="D29" s="685">
        <f>+'1 Listed activity'!E28</f>
        <v>0</v>
      </c>
      <c r="E29" s="680" t="str">
        <f>+'1 Listed activity'!F28</f>
        <v/>
      </c>
      <c r="F29" s="584">
        <f t="shared" si="0"/>
        <v>21</v>
      </c>
      <c r="G29" s="684">
        <v>0</v>
      </c>
      <c r="H29" s="684">
        <v>0</v>
      </c>
      <c r="I29" s="380" t="str">
        <v/>
      </c>
      <c r="J29" s="380" t="str">
        <f>IF(H29=0,"",IF(COUNTIF($H$9:H29,H29)&gt;3,"*Capped",I29))</f>
        <v/>
      </c>
      <c r="K29" s="584"/>
      <c r="L29" s="684">
        <v>0</v>
      </c>
      <c r="M29" s="684">
        <v>0</v>
      </c>
      <c r="N29" s="681" t="str">
        <v/>
      </c>
      <c r="O29" s="682" t="str">
        <v/>
      </c>
      <c r="P29" s="682" t="str">
        <f t="shared" si="2"/>
        <v/>
      </c>
      <c r="Q29" s="380" t="str">
        <f t="shared" si="1"/>
        <v/>
      </c>
      <c r="R29" s="390"/>
      <c r="S29" s="660">
        <f>COUNTIF($O$9:O29,$S$8)</f>
        <v>0</v>
      </c>
      <c r="T29" s="648">
        <f>COUNTIF($O$9:O29,$T$8)</f>
        <v>0</v>
      </c>
      <c r="U29" s="648">
        <f>IF(T29=0,COUNTIF($O$9:O29,$U$8),0)</f>
        <v>0</v>
      </c>
      <c r="V29" s="648">
        <f>IF(U29=0,COUNTIF($O$9:O29,$V$8),0)</f>
        <v>0</v>
      </c>
      <c r="W29" s="648">
        <f>IF(V29=0,COUNTIF($O$9:O29,$W$8),0)</f>
        <v>0</v>
      </c>
    </row>
    <row r="30" spans="1:23" x14ac:dyDescent="0.3">
      <c r="A30" s="4"/>
      <c r="B30" s="15">
        <v>22</v>
      </c>
      <c r="C30" s="685">
        <f>+'1 Listed activity'!D29</f>
        <v>0</v>
      </c>
      <c r="D30" s="685">
        <f>+'1 Listed activity'!E29</f>
        <v>0</v>
      </c>
      <c r="E30" s="680" t="str">
        <f>+'1 Listed activity'!F29</f>
        <v/>
      </c>
      <c r="F30" s="584">
        <f t="shared" si="0"/>
        <v>22</v>
      </c>
      <c r="G30" s="684">
        <v>0</v>
      </c>
      <c r="H30" s="684">
        <v>0</v>
      </c>
      <c r="I30" s="380" t="str">
        <v/>
      </c>
      <c r="J30" s="380" t="str">
        <f>IF(H30=0,"",IF(COUNTIF($H$9:H30,H30)&gt;3,"*Capped",I30))</f>
        <v/>
      </c>
      <c r="K30" s="584"/>
      <c r="L30" s="684">
        <v>0</v>
      </c>
      <c r="M30" s="684">
        <v>0</v>
      </c>
      <c r="N30" s="681" t="str">
        <v/>
      </c>
      <c r="O30" s="682" t="str">
        <v/>
      </c>
      <c r="P30" s="682" t="str">
        <f t="shared" si="2"/>
        <v/>
      </c>
      <c r="Q30" s="380" t="str">
        <f t="shared" si="1"/>
        <v/>
      </c>
      <c r="R30" s="390"/>
      <c r="S30" s="660">
        <f>COUNTIF($O$9:O30,$S$8)</f>
        <v>0</v>
      </c>
      <c r="T30" s="648">
        <f>COUNTIF($O$9:O30,$T$8)</f>
        <v>0</v>
      </c>
      <c r="U30" s="648">
        <f>IF(T30=0,COUNTIF($O$9:O30,$U$8),0)</f>
        <v>0</v>
      </c>
      <c r="V30" s="648">
        <f>IF(U30=0,COUNTIF($O$9:O30,$V$8),0)</f>
        <v>0</v>
      </c>
      <c r="W30" s="648">
        <f>IF(V30=0,COUNTIF($O$9:O30,$W$8),0)</f>
        <v>0</v>
      </c>
    </row>
    <row r="31" spans="1:23" x14ac:dyDescent="0.3">
      <c r="A31" s="4"/>
      <c r="B31" s="15">
        <v>23</v>
      </c>
      <c r="C31" s="685">
        <f>+'1 Listed activity'!D30</f>
        <v>0</v>
      </c>
      <c r="D31" s="685">
        <f>+'1 Listed activity'!E30</f>
        <v>0</v>
      </c>
      <c r="E31" s="680" t="str">
        <f>+'1 Listed activity'!F30</f>
        <v/>
      </c>
      <c r="F31" s="584">
        <f t="shared" si="0"/>
        <v>23</v>
      </c>
      <c r="G31" s="684">
        <v>0</v>
      </c>
      <c r="H31" s="684">
        <v>0</v>
      </c>
      <c r="I31" s="380" t="str">
        <v/>
      </c>
      <c r="J31" s="380" t="str">
        <f>IF(H31=0,"",IF(COUNTIF($H$9:H31,H31)&gt;3,"*Capped",I31))</f>
        <v/>
      </c>
      <c r="K31" s="584"/>
      <c r="L31" s="684">
        <v>0</v>
      </c>
      <c r="M31" s="684">
        <v>0</v>
      </c>
      <c r="N31" s="681" t="str">
        <v/>
      </c>
      <c r="O31" s="682" t="str">
        <v/>
      </c>
      <c r="P31" s="682" t="str">
        <f t="shared" si="2"/>
        <v/>
      </c>
      <c r="Q31" s="380" t="str">
        <f t="shared" si="1"/>
        <v/>
      </c>
      <c r="R31" s="390"/>
      <c r="S31" s="660">
        <f>COUNTIF($O$9:O31,$S$8)</f>
        <v>0</v>
      </c>
      <c r="T31" s="648">
        <f>COUNTIF($O$9:O31,$T$8)</f>
        <v>0</v>
      </c>
      <c r="U31" s="648">
        <f>IF(T31=0,COUNTIF($O$9:O31,$U$8),0)</f>
        <v>0</v>
      </c>
      <c r="V31" s="648">
        <f>IF(U31=0,COUNTIF($O$9:O31,$V$8),0)</f>
        <v>0</v>
      </c>
      <c r="W31" s="648">
        <f>IF(V31=0,COUNTIF($O$9:O31,$W$8),0)</f>
        <v>0</v>
      </c>
    </row>
    <row r="32" spans="1:23" x14ac:dyDescent="0.3">
      <c r="A32" s="4"/>
      <c r="B32" s="15">
        <v>24</v>
      </c>
      <c r="C32" s="685">
        <f>+'1 Listed activity'!D31</f>
        <v>0</v>
      </c>
      <c r="D32" s="685">
        <f>+'1 Listed activity'!E31</f>
        <v>0</v>
      </c>
      <c r="E32" s="680" t="str">
        <f>+'1 Listed activity'!F31</f>
        <v/>
      </c>
      <c r="F32" s="584">
        <f t="shared" si="0"/>
        <v>24</v>
      </c>
      <c r="G32" s="684">
        <v>0</v>
      </c>
      <c r="H32" s="684">
        <v>0</v>
      </c>
      <c r="I32" s="380" t="str">
        <v/>
      </c>
      <c r="J32" s="380" t="str">
        <f>IF(H32=0,"",IF(COUNTIF($H$9:H32,H32)&gt;3,"*Capped",I32))</f>
        <v/>
      </c>
      <c r="K32" s="584"/>
      <c r="L32" s="684">
        <v>0</v>
      </c>
      <c r="M32" s="684">
        <v>0</v>
      </c>
      <c r="N32" s="681" t="str">
        <v/>
      </c>
      <c r="O32" s="682" t="str">
        <v/>
      </c>
      <c r="P32" s="682" t="str">
        <f t="shared" si="2"/>
        <v/>
      </c>
      <c r="Q32" s="380" t="str">
        <f t="shared" si="1"/>
        <v/>
      </c>
      <c r="R32" s="390"/>
      <c r="S32" s="660">
        <f>COUNTIF($O$9:O32,$S$8)</f>
        <v>0</v>
      </c>
      <c r="T32" s="648">
        <f>COUNTIF($O$9:O32,$T$8)</f>
        <v>0</v>
      </c>
      <c r="U32" s="648">
        <f>IF(T32=0,COUNTIF($O$9:O32,$U$8),0)</f>
        <v>0</v>
      </c>
      <c r="V32" s="648">
        <f>IF(U32=0,COUNTIF($O$9:O32,$V$8),0)</f>
        <v>0</v>
      </c>
      <c r="W32" s="648">
        <f>IF(V32=0,COUNTIF($O$9:O32,$W$8),0)</f>
        <v>0</v>
      </c>
    </row>
    <row r="33" spans="1:23" x14ac:dyDescent="0.3">
      <c r="A33" s="4"/>
      <c r="B33" s="15">
        <v>25</v>
      </c>
      <c r="C33" s="685">
        <f>+'1 Listed activity'!D32</f>
        <v>0</v>
      </c>
      <c r="D33" s="685">
        <f>+'1 Listed activity'!E32</f>
        <v>0</v>
      </c>
      <c r="E33" s="680" t="str">
        <f>+'1 Listed activity'!F32</f>
        <v/>
      </c>
      <c r="F33" s="584">
        <f t="shared" si="0"/>
        <v>25</v>
      </c>
      <c r="G33" s="684">
        <v>0</v>
      </c>
      <c r="H33" s="684">
        <v>0</v>
      </c>
      <c r="I33" s="380" t="str">
        <v/>
      </c>
      <c r="J33" s="380" t="str">
        <f>IF(H33=0,"",IF(COUNTIF($H$9:H33,H33)&gt;3,"*Capped",I33))</f>
        <v/>
      </c>
      <c r="K33" s="584"/>
      <c r="L33" s="684">
        <v>0</v>
      </c>
      <c r="M33" s="684">
        <v>0</v>
      </c>
      <c r="N33" s="681" t="str">
        <v/>
      </c>
      <c r="O33" s="682" t="str">
        <v/>
      </c>
      <c r="P33" s="682" t="str">
        <f t="shared" si="2"/>
        <v/>
      </c>
      <c r="Q33" s="380" t="str">
        <f t="shared" si="1"/>
        <v/>
      </c>
      <c r="R33" s="390"/>
      <c r="S33" s="660">
        <f>COUNTIF($O$9:O33,$S$8)</f>
        <v>0</v>
      </c>
      <c r="T33" s="648">
        <f>COUNTIF($O$9:O33,$T$8)</f>
        <v>0</v>
      </c>
      <c r="U33" s="648">
        <f>IF(T33=0,COUNTIF($O$9:O33,$U$8),0)</f>
        <v>0</v>
      </c>
      <c r="V33" s="648">
        <f>IF(U33=0,COUNTIF($O$9:O33,$V$8),0)</f>
        <v>0</v>
      </c>
      <c r="W33" s="648">
        <f>IF(V33=0,COUNTIF($O$9:O33,$W$8),0)</f>
        <v>0</v>
      </c>
    </row>
    <row r="34" spans="1:23" x14ac:dyDescent="0.3">
      <c r="A34" s="4"/>
      <c r="B34" s="15">
        <v>26</v>
      </c>
      <c r="C34" s="685"/>
      <c r="D34" s="685"/>
      <c r="E34" s="680"/>
      <c r="F34" s="584">
        <f t="shared" si="0"/>
        <v>26</v>
      </c>
      <c r="G34" s="684">
        <v>0</v>
      </c>
      <c r="H34" s="684">
        <v>0</v>
      </c>
      <c r="I34" s="380">
        <v>0</v>
      </c>
      <c r="J34" s="380" t="str">
        <f>IF(H34=0,"",IF(COUNTIF($H$9:H34,H34)&gt;3,"*Capped",I34))</f>
        <v/>
      </c>
      <c r="K34" s="584"/>
      <c r="L34" s="684">
        <v>0</v>
      </c>
      <c r="M34" s="684">
        <v>0</v>
      </c>
      <c r="N34" s="681">
        <v>0</v>
      </c>
      <c r="O34" s="682" t="str">
        <v/>
      </c>
      <c r="P34" s="682" t="str">
        <f t="shared" si="2"/>
        <v/>
      </c>
      <c r="Q34" s="380" t="str">
        <f t="shared" si="1"/>
        <v/>
      </c>
      <c r="R34" s="390"/>
      <c r="S34" s="660">
        <f>COUNTIF($O$9:O34,$S$8)</f>
        <v>0</v>
      </c>
      <c r="T34" s="648">
        <f>COUNTIF($O$9:O34,$T$8)</f>
        <v>0</v>
      </c>
      <c r="U34" s="648">
        <f>IF(T34=0,COUNTIF($O$9:O34,$U$8),0)</f>
        <v>0</v>
      </c>
      <c r="V34" s="648">
        <f>IF(U34=0,COUNTIF($O$9:O34,$V$8),0)</f>
        <v>0</v>
      </c>
      <c r="W34" s="648">
        <f>IF(V34=0,COUNTIF($O$9:O34,$W$8),0)</f>
        <v>0</v>
      </c>
    </row>
    <row r="35" spans="1:23" x14ac:dyDescent="0.3">
      <c r="A35" s="4"/>
      <c r="B35" s="15">
        <v>27</v>
      </c>
      <c r="C35" s="685"/>
      <c r="D35" s="685"/>
      <c r="E35" s="680"/>
      <c r="F35" s="584">
        <f t="shared" si="0"/>
        <v>27</v>
      </c>
      <c r="G35" s="684">
        <v>0</v>
      </c>
      <c r="H35" s="684">
        <v>0</v>
      </c>
      <c r="I35" s="380">
        <v>0</v>
      </c>
      <c r="J35" s="380" t="str">
        <f>IF(H35=0,"",IF(COUNTIF($H$9:H35,H35)&gt;3,"*Capped",I35))</f>
        <v/>
      </c>
      <c r="K35" s="584"/>
      <c r="L35" s="684">
        <v>0</v>
      </c>
      <c r="M35" s="684">
        <v>0</v>
      </c>
      <c r="N35" s="681">
        <v>0</v>
      </c>
      <c r="O35" s="682" t="str">
        <v/>
      </c>
      <c r="P35" s="682" t="str">
        <f t="shared" si="2"/>
        <v/>
      </c>
      <c r="Q35" s="380" t="str">
        <f t="shared" si="1"/>
        <v/>
      </c>
      <c r="R35" s="390"/>
      <c r="S35" s="660">
        <f>COUNTIF($O$9:O35,$S$8)</f>
        <v>0</v>
      </c>
      <c r="T35" s="648">
        <f>COUNTIF($O$9:O35,$T$8)</f>
        <v>0</v>
      </c>
      <c r="U35" s="648">
        <f>IF(T35=0,COUNTIF($O$9:O35,$U$8),0)</f>
        <v>0</v>
      </c>
      <c r="V35" s="648">
        <f>IF(U35=0,COUNTIF($O$9:O35,$V$8),0)</f>
        <v>0</v>
      </c>
      <c r="W35" s="648">
        <f>IF(V35=0,COUNTIF($O$9:O35,$W$8),0)</f>
        <v>0</v>
      </c>
    </row>
    <row r="36" spans="1:23" x14ac:dyDescent="0.3">
      <c r="A36" s="4"/>
      <c r="B36" s="15">
        <v>28</v>
      </c>
      <c r="C36" s="685"/>
      <c r="D36" s="685"/>
      <c r="E36" s="680"/>
      <c r="F36" s="584">
        <f t="shared" si="0"/>
        <v>28</v>
      </c>
      <c r="G36" s="684">
        <v>0</v>
      </c>
      <c r="H36" s="684">
        <v>0</v>
      </c>
      <c r="I36" s="380">
        <v>0</v>
      </c>
      <c r="J36" s="380" t="str">
        <f>IF(H36=0,"",IF(COUNTIF($H$9:H36,H36)&gt;3,"*Capped",I36))</f>
        <v/>
      </c>
      <c r="K36" s="584"/>
      <c r="L36" s="684">
        <v>0</v>
      </c>
      <c r="M36" s="684">
        <v>0</v>
      </c>
      <c r="N36" s="681">
        <v>0</v>
      </c>
      <c r="O36" s="682" t="str">
        <v/>
      </c>
      <c r="P36" s="682" t="str">
        <f t="shared" si="2"/>
        <v/>
      </c>
      <c r="Q36" s="380" t="str">
        <f t="shared" si="1"/>
        <v/>
      </c>
      <c r="R36" s="390"/>
      <c r="S36" s="660">
        <f>COUNTIF($O$9:O36,$S$8)</f>
        <v>0</v>
      </c>
      <c r="T36" s="648">
        <f>COUNTIF($O$9:O36,$T$8)</f>
        <v>0</v>
      </c>
      <c r="U36" s="648">
        <f>IF(T36=0,COUNTIF($O$9:O36,$U$8),0)</f>
        <v>0</v>
      </c>
      <c r="V36" s="648">
        <f>IF(U36=0,COUNTIF($O$9:O36,$V$8),0)</f>
        <v>0</v>
      </c>
      <c r="W36" s="648">
        <f>IF(V36=0,COUNTIF($O$9:O36,$W$8),0)</f>
        <v>0</v>
      </c>
    </row>
    <row r="37" spans="1:23" x14ac:dyDescent="0.3">
      <c r="A37" s="4"/>
      <c r="B37" s="15">
        <v>29</v>
      </c>
      <c r="C37" s="685"/>
      <c r="D37" s="685"/>
      <c r="E37" s="680"/>
      <c r="F37" s="584">
        <f t="shared" si="0"/>
        <v>29</v>
      </c>
      <c r="G37" s="684">
        <v>0</v>
      </c>
      <c r="H37" s="684">
        <v>0</v>
      </c>
      <c r="I37" s="380">
        <v>0</v>
      </c>
      <c r="J37" s="380" t="str">
        <f>IF(H37=0,"",IF(COUNTIF($H$9:H37,H37)&gt;3,"*Capped",I37))</f>
        <v/>
      </c>
      <c r="K37" s="584"/>
      <c r="L37" s="684">
        <v>0</v>
      </c>
      <c r="M37" s="684">
        <v>0</v>
      </c>
      <c r="N37" s="681">
        <v>0</v>
      </c>
      <c r="O37" s="682" t="str">
        <v/>
      </c>
      <c r="P37" s="682" t="str">
        <f t="shared" si="2"/>
        <v/>
      </c>
      <c r="Q37" s="380" t="str">
        <f t="shared" si="1"/>
        <v/>
      </c>
      <c r="R37" s="390"/>
      <c r="S37" s="660">
        <f>COUNTIF($O$9:O37,$S$8)</f>
        <v>0</v>
      </c>
      <c r="T37" s="648">
        <f>COUNTIF($O$9:O37,$T$8)</f>
        <v>0</v>
      </c>
      <c r="U37" s="648">
        <f>IF(T37=0,COUNTIF($O$9:O37,$U$8),0)</f>
        <v>0</v>
      </c>
      <c r="V37" s="648">
        <f>IF(U37=0,COUNTIF($O$9:O37,$V$8),0)</f>
        <v>0</v>
      </c>
      <c r="W37" s="648">
        <f>IF(V37=0,COUNTIF($O$9:O37,$W$8),0)</f>
        <v>0</v>
      </c>
    </row>
    <row r="38" spans="1:23" x14ac:dyDescent="0.3">
      <c r="A38" s="4"/>
      <c r="B38" s="15">
        <v>30</v>
      </c>
      <c r="C38" s="685"/>
      <c r="D38" s="685"/>
      <c r="E38" s="680"/>
      <c r="F38" s="584">
        <f t="shared" si="0"/>
        <v>30</v>
      </c>
      <c r="G38" s="684">
        <v>0</v>
      </c>
      <c r="H38" s="684">
        <v>0</v>
      </c>
      <c r="I38" s="380">
        <v>0</v>
      </c>
      <c r="J38" s="380" t="str">
        <f>IF(H38=0,"",IF(COUNTIF($H$9:H38,H38)&gt;3,"*Capped",I38))</f>
        <v/>
      </c>
      <c r="K38" s="584"/>
      <c r="L38" s="684">
        <v>0</v>
      </c>
      <c r="M38" s="684">
        <v>0</v>
      </c>
      <c r="N38" s="681">
        <v>0</v>
      </c>
      <c r="O38" s="682" t="str">
        <v/>
      </c>
      <c r="P38" s="682" t="str">
        <f t="shared" si="2"/>
        <v/>
      </c>
      <c r="Q38" s="380" t="str">
        <f t="shared" si="1"/>
        <v/>
      </c>
      <c r="R38" s="390"/>
      <c r="S38" s="660">
        <f>COUNTIF($O$9:O38,$S$8)</f>
        <v>0</v>
      </c>
      <c r="T38" s="648">
        <f>COUNTIF($O$9:O38,$T$8)</f>
        <v>0</v>
      </c>
      <c r="U38" s="648">
        <f>IF(T38=0,COUNTIF($O$9:O38,$U$8),0)</f>
        <v>0</v>
      </c>
      <c r="V38" s="648">
        <f>IF(U38=0,COUNTIF($O$9:O38,$V$8),0)</f>
        <v>0</v>
      </c>
      <c r="W38" s="648">
        <f>IF(V38=0,COUNTIF($O$9:O38,$W$8),0)</f>
        <v>0</v>
      </c>
    </row>
    <row r="39" spans="1:23" x14ac:dyDescent="0.3">
      <c r="A39" s="4"/>
      <c r="B39" s="508"/>
      <c r="C39" s="403"/>
      <c r="D39" s="403"/>
      <c r="E39" s="661"/>
      <c r="F39" s="662"/>
      <c r="G39" s="661"/>
      <c r="H39" s="661"/>
      <c r="I39" s="661"/>
      <c r="J39" s="662"/>
      <c r="K39" s="663"/>
      <c r="L39" s="390"/>
      <c r="M39" s="387"/>
      <c r="N39" s="390"/>
      <c r="O39" s="390"/>
      <c r="P39" s="387"/>
      <c r="Q39" s="387"/>
      <c r="R39" s="390"/>
      <c r="S39" s="400"/>
      <c r="T39" s="588"/>
      <c r="U39" s="588"/>
      <c r="V39" s="588"/>
      <c r="W39" s="588"/>
    </row>
    <row r="40" spans="1:23" x14ac:dyDescent="0.3">
      <c r="A40" s="4"/>
      <c r="B40" s="403"/>
      <c r="C40" s="403"/>
      <c r="D40" s="403"/>
      <c r="E40" s="385"/>
      <c r="F40" s="411"/>
      <c r="G40" s="385"/>
      <c r="H40" s="385"/>
      <c r="I40" s="385"/>
      <c r="J40" s="411"/>
      <c r="K40" s="412"/>
      <c r="L40" s="390"/>
      <c r="M40" s="387"/>
      <c r="N40" s="390"/>
      <c r="O40" s="390"/>
      <c r="P40" s="387"/>
      <c r="Q40" s="387"/>
      <c r="R40" s="390"/>
      <c r="S40" s="400"/>
      <c r="T40" s="588"/>
      <c r="U40" s="588"/>
      <c r="V40" s="588"/>
      <c r="W40" s="588"/>
    </row>
    <row r="41" spans="1:23" x14ac:dyDescent="0.3">
      <c r="A41" s="4"/>
      <c r="B41" s="664"/>
      <c r="C41" s="403"/>
      <c r="D41" s="403"/>
      <c r="E41" s="385"/>
      <c r="F41" s="411"/>
      <c r="G41" s="385"/>
      <c r="H41" s="385"/>
      <c r="I41" s="385"/>
      <c r="J41" s="411"/>
      <c r="K41" s="412"/>
      <c r="L41" s="390"/>
      <c r="M41" s="387"/>
      <c r="N41" s="390"/>
      <c r="O41" s="390"/>
      <c r="P41" s="387"/>
      <c r="Q41" s="387"/>
      <c r="R41" s="390"/>
      <c r="S41" s="400"/>
      <c r="T41" s="588"/>
      <c r="U41" s="588"/>
      <c r="V41" s="588"/>
      <c r="W41" s="588"/>
    </row>
    <row r="42" spans="1:23" x14ac:dyDescent="0.3">
      <c r="A42" s="4"/>
      <c r="B42" s="403"/>
      <c r="C42" s="403"/>
      <c r="D42" s="403"/>
      <c r="E42" s="385"/>
      <c r="F42" s="411"/>
      <c r="G42" s="385"/>
      <c r="H42" s="385"/>
      <c r="I42" s="385"/>
      <c r="J42" s="411"/>
      <c r="K42" s="412"/>
      <c r="L42" s="390"/>
      <c r="M42" s="387"/>
      <c r="N42" s="390"/>
      <c r="O42" s="390"/>
      <c r="P42" s="387"/>
      <c r="Q42" s="387"/>
      <c r="R42" s="390"/>
      <c r="S42" s="400"/>
      <c r="T42" s="588"/>
      <c r="U42" s="588"/>
      <c r="V42" s="588"/>
      <c r="W42" s="588"/>
    </row>
    <row r="43" spans="1:23" x14ac:dyDescent="0.3">
      <c r="A43" s="4"/>
      <c r="B43" s="655"/>
      <c r="C43" s="804" t="s">
        <v>84</v>
      </c>
      <c r="D43" s="805"/>
      <c r="E43" s="385" t="s">
        <v>667</v>
      </c>
      <c r="F43" s="806" t="s">
        <v>85</v>
      </c>
      <c r="G43" s="806"/>
      <c r="H43" s="806"/>
      <c r="I43" s="806"/>
      <c r="J43" s="665"/>
      <c r="K43" s="666"/>
      <c r="L43" s="390"/>
      <c r="M43" s="387"/>
      <c r="N43" s="390"/>
      <c r="O43" s="390"/>
      <c r="P43" s="387"/>
      <c r="Q43" s="387"/>
      <c r="R43" s="390"/>
      <c r="S43" s="400"/>
      <c r="T43" s="588"/>
      <c r="U43" s="588"/>
      <c r="V43" s="588"/>
      <c r="W43" s="588"/>
    </row>
    <row r="44" spans="1:23" x14ac:dyDescent="0.3">
      <c r="A44" s="4"/>
      <c r="B44" s="667"/>
      <c r="C44" s="50" t="s">
        <v>86</v>
      </c>
      <c r="D44" s="283" t="str">
        <f>IF(COUNTIF(O9:O38,"*capped"),"Yes","no")</f>
        <v>no</v>
      </c>
      <c r="E44" s="385"/>
      <c r="F44" s="806"/>
      <c r="G44" s="806"/>
      <c r="H44" s="806"/>
      <c r="I44" s="806"/>
      <c r="J44" s="665"/>
      <c r="K44" s="666"/>
      <c r="L44" s="390"/>
      <c r="M44" s="387"/>
      <c r="N44" s="390"/>
      <c r="O44" s="390"/>
      <c r="P44" s="387"/>
      <c r="Q44" s="387"/>
      <c r="R44" s="390"/>
      <c r="S44" s="400"/>
      <c r="T44" s="588"/>
      <c r="U44" s="588"/>
      <c r="V44" s="588"/>
      <c r="W44" s="588"/>
    </row>
    <row r="45" spans="1:23" x14ac:dyDescent="0.3">
      <c r="A45" s="4"/>
      <c r="B45" s="667"/>
      <c r="C45" s="50" t="s">
        <v>76</v>
      </c>
      <c r="D45" s="282" t="s">
        <v>18</v>
      </c>
      <c r="E45" s="385"/>
      <c r="F45" s="806"/>
      <c r="G45" s="806"/>
      <c r="H45" s="806"/>
      <c r="I45" s="806"/>
      <c r="J45" s="665"/>
      <c r="K45" s="666"/>
      <c r="L45" s="390"/>
      <c r="M45" s="387"/>
      <c r="N45" s="390"/>
      <c r="O45" s="390"/>
      <c r="P45" s="387"/>
      <c r="Q45" s="387"/>
      <c r="R45" s="390"/>
      <c r="S45" s="400"/>
      <c r="T45" s="588"/>
      <c r="U45" s="588"/>
      <c r="V45" s="588"/>
      <c r="W45" s="588"/>
    </row>
    <row r="46" spans="1:23" x14ac:dyDescent="0.3">
      <c r="A46" s="4"/>
      <c r="B46" s="667"/>
      <c r="C46" s="50" t="s">
        <v>87</v>
      </c>
      <c r="D46" s="529" t="s">
        <v>733</v>
      </c>
      <c r="E46" s="385"/>
      <c r="F46" s="806"/>
      <c r="G46" s="806"/>
      <c r="H46" s="806"/>
      <c r="I46" s="806"/>
      <c r="J46" s="665"/>
      <c r="K46" s="666"/>
      <c r="L46" s="390"/>
      <c r="M46" s="387"/>
      <c r="N46" s="390"/>
      <c r="O46" s="390"/>
      <c r="P46" s="387"/>
      <c r="Q46" s="387"/>
      <c r="R46" s="390"/>
      <c r="S46" s="400"/>
      <c r="T46" s="588"/>
      <c r="U46" s="588"/>
      <c r="V46" s="588"/>
      <c r="W46" s="588"/>
    </row>
    <row r="47" spans="1:23" x14ac:dyDescent="0.3">
      <c r="A47" s="4"/>
      <c r="B47" s="667"/>
      <c r="C47" s="50" t="s">
        <v>88</v>
      </c>
      <c r="D47" s="284">
        <f>+P6</f>
        <v>0</v>
      </c>
      <c r="E47" s="668" t="str">
        <f>IF(P6=0,"Incomplete","Complete")</f>
        <v>Incomplete</v>
      </c>
      <c r="F47" s="411"/>
      <c r="G47" s="669"/>
      <c r="H47" s="665"/>
      <c r="I47" s="665"/>
      <c r="J47" s="665"/>
      <c r="K47" s="666"/>
      <c r="L47" s="390"/>
      <c r="M47" s="387"/>
      <c r="N47" s="390"/>
      <c r="O47" s="390"/>
      <c r="P47" s="387"/>
      <c r="Q47" s="387"/>
      <c r="R47" s="390"/>
      <c r="S47" s="400"/>
      <c r="T47" s="588"/>
      <c r="U47" s="588"/>
      <c r="V47" s="588"/>
      <c r="W47" s="588"/>
    </row>
    <row r="48" spans="1:23" ht="15.6" x14ac:dyDescent="0.3">
      <c r="A48" s="4"/>
      <c r="B48" s="670"/>
      <c r="C48" s="52" t="s">
        <v>89</v>
      </c>
      <c r="D48" s="285" t="str">
        <f>IF(AND(F15&gt;6,Q15="e"),"Yes",IF(AND(F15&gt;6,Q15="d"),"C",IF(AND(F15&gt;6,Q15="c"),"Yes",IF(AND(F15&gt;6,Q15,Q15="b"),"Yes",IF(AND(F15&gt;6,Q15,Q15="a"),"Yes","No")))))</f>
        <v>No</v>
      </c>
      <c r="E48" s="385"/>
      <c r="F48" s="411"/>
      <c r="G48" s="385"/>
      <c r="H48" s="665"/>
      <c r="I48" s="665"/>
      <c r="J48" s="665"/>
      <c r="K48" s="666"/>
      <c r="L48" s="390"/>
      <c r="M48" s="387"/>
      <c r="N48" s="390"/>
      <c r="O48" s="390"/>
      <c r="P48" s="387"/>
      <c r="Q48" s="387"/>
      <c r="R48" s="390"/>
      <c r="S48" s="400"/>
      <c r="T48" s="588"/>
      <c r="U48" s="588"/>
      <c r="V48" s="588"/>
      <c r="W48" s="588"/>
    </row>
    <row r="49" spans="1:23" ht="15.6" x14ac:dyDescent="0.3">
      <c r="A49" s="4"/>
      <c r="B49" s="670"/>
      <c r="C49" s="671"/>
      <c r="D49" s="670"/>
      <c r="E49" s="385"/>
      <c r="F49" s="411"/>
      <c r="G49" s="385"/>
      <c r="H49" s="665"/>
      <c r="I49" s="665"/>
      <c r="J49" s="665"/>
      <c r="K49" s="666"/>
      <c r="L49" s="390"/>
      <c r="M49" s="387"/>
      <c r="N49" s="390"/>
      <c r="O49" s="390"/>
      <c r="P49" s="387"/>
      <c r="Q49" s="387"/>
      <c r="R49" s="390"/>
      <c r="S49" s="400"/>
      <c r="T49" s="588"/>
      <c r="U49" s="588"/>
      <c r="V49" s="588"/>
      <c r="W49" s="588"/>
    </row>
    <row r="50" spans="1:23" ht="41.25" customHeight="1" x14ac:dyDescent="0.3">
      <c r="A50" s="4"/>
      <c r="B50" s="34"/>
      <c r="C50" s="807" t="s">
        <v>90</v>
      </c>
      <c r="D50" s="808"/>
      <c r="E50" s="809"/>
      <c r="F50" s="411"/>
      <c r="G50" s="810" t="s">
        <v>91</v>
      </c>
      <c r="H50" s="810"/>
      <c r="I50" s="642"/>
      <c r="J50" s="411"/>
      <c r="K50" s="412"/>
      <c r="L50" s="390"/>
      <c r="M50" s="387"/>
      <c r="N50" s="390"/>
      <c r="O50" s="390"/>
      <c r="P50" s="387"/>
      <c r="Q50" s="387"/>
      <c r="R50" s="390"/>
      <c r="S50" s="400"/>
      <c r="T50" s="588"/>
      <c r="U50" s="588"/>
      <c r="V50" s="588"/>
      <c r="W50" s="588"/>
    </row>
    <row r="51" spans="1:23" ht="27" x14ac:dyDescent="0.3">
      <c r="A51" s="4"/>
      <c r="B51" s="53" t="s">
        <v>51</v>
      </c>
      <c r="C51" s="54" t="s">
        <v>92</v>
      </c>
      <c r="D51" s="54" t="s">
        <v>93</v>
      </c>
      <c r="E51" s="55" t="s">
        <v>94</v>
      </c>
      <c r="F51" s="304"/>
      <c r="G51" s="810"/>
      <c r="H51" s="810"/>
      <c r="I51" s="385"/>
      <c r="J51" s="672"/>
      <c r="K51" s="673"/>
      <c r="L51" s="390"/>
      <c r="M51" s="387"/>
      <c r="N51" s="390"/>
      <c r="O51" s="390"/>
      <c r="P51" s="387"/>
      <c r="Q51" s="387"/>
      <c r="R51" s="390"/>
      <c r="S51" s="400"/>
      <c r="T51" s="588"/>
      <c r="U51" s="588"/>
      <c r="V51" s="588"/>
      <c r="W51" s="588"/>
    </row>
    <row r="52" spans="1:23" x14ac:dyDescent="0.3">
      <c r="A52" s="4"/>
      <c r="B52" s="55" t="s">
        <v>31</v>
      </c>
      <c r="C52" s="266">
        <f t="shared" ref="C52:C57" si="3">COUNTIF(Q$9:Q$14,B52)</f>
        <v>0</v>
      </c>
      <c r="D52" s="266">
        <f t="shared" ref="D52:D57" si="4">COUNTIF(Q$15:Q$38,B52)</f>
        <v>0</v>
      </c>
      <c r="E52" s="266">
        <f t="shared" ref="E52:E57" si="5">C52+D52</f>
        <v>0</v>
      </c>
      <c r="F52" s="304"/>
      <c r="G52" s="803">
        <f>COUNTIF(E$9:E$39,"A")</f>
        <v>0</v>
      </c>
      <c r="H52" s="803"/>
      <c r="I52" s="385"/>
      <c r="J52" s="672"/>
      <c r="K52" s="673"/>
      <c r="L52" s="390"/>
      <c r="M52" s="387"/>
      <c r="N52" s="390"/>
      <c r="O52" s="390"/>
      <c r="P52" s="387"/>
      <c r="Q52" s="387"/>
      <c r="R52" s="390"/>
      <c r="S52" s="400"/>
      <c r="T52" s="588"/>
      <c r="U52" s="588"/>
      <c r="V52" s="588"/>
      <c r="W52" s="588"/>
    </row>
    <row r="53" spans="1:23" x14ac:dyDescent="0.3">
      <c r="A53" s="4"/>
      <c r="B53" s="55" t="s">
        <v>32</v>
      </c>
      <c r="C53" s="266">
        <f t="shared" si="3"/>
        <v>0</v>
      </c>
      <c r="D53" s="266">
        <f t="shared" si="4"/>
        <v>0</v>
      </c>
      <c r="E53" s="266">
        <f t="shared" si="5"/>
        <v>0</v>
      </c>
      <c r="F53" s="304"/>
      <c r="G53" s="803">
        <f>COUNTIF(E$9:E$39,"B")</f>
        <v>0</v>
      </c>
      <c r="H53" s="803"/>
      <c r="I53" s="385"/>
      <c r="J53" s="672"/>
      <c r="K53" s="673"/>
      <c r="L53" s="390"/>
      <c r="M53" s="387"/>
      <c r="N53" s="390"/>
      <c r="O53" s="390"/>
      <c r="P53" s="387"/>
      <c r="Q53" s="387"/>
      <c r="R53" s="390"/>
      <c r="S53" s="400"/>
      <c r="T53" s="588"/>
      <c r="U53" s="588"/>
      <c r="V53" s="588"/>
      <c r="W53" s="588"/>
    </row>
    <row r="54" spans="1:23" x14ac:dyDescent="0.3">
      <c r="A54" s="4"/>
      <c r="B54" s="55" t="s">
        <v>30</v>
      </c>
      <c r="C54" s="266">
        <f t="shared" si="3"/>
        <v>0</v>
      </c>
      <c r="D54" s="266">
        <f t="shared" si="4"/>
        <v>0</v>
      </c>
      <c r="E54" s="266">
        <f t="shared" si="5"/>
        <v>0</v>
      </c>
      <c r="F54" s="304"/>
      <c r="G54" s="803">
        <f>COUNTIF(E$9:E$39,"C")</f>
        <v>0</v>
      </c>
      <c r="H54" s="803"/>
      <c r="I54" s="385"/>
      <c r="J54" s="672"/>
      <c r="K54" s="673"/>
      <c r="L54" s="390"/>
      <c r="M54" s="387"/>
      <c r="N54" s="390"/>
      <c r="O54" s="390"/>
      <c r="P54" s="387"/>
      <c r="Q54" s="387"/>
      <c r="R54" s="390"/>
      <c r="S54" s="400"/>
      <c r="T54" s="588"/>
      <c r="U54" s="588"/>
      <c r="V54" s="588"/>
      <c r="W54" s="588"/>
    </row>
    <row r="55" spans="1:23" x14ac:dyDescent="0.3">
      <c r="A55" s="4"/>
      <c r="B55" s="55" t="s">
        <v>33</v>
      </c>
      <c r="C55" s="266">
        <f t="shared" si="3"/>
        <v>0</v>
      </c>
      <c r="D55" s="266">
        <f t="shared" si="4"/>
        <v>0</v>
      </c>
      <c r="E55" s="266">
        <f t="shared" si="5"/>
        <v>0</v>
      </c>
      <c r="F55" s="304"/>
      <c r="G55" s="803">
        <f>COUNTIF(E$9:E$39,"D")</f>
        <v>0</v>
      </c>
      <c r="H55" s="803"/>
      <c r="I55" s="385"/>
      <c r="J55" s="672"/>
      <c r="K55" s="673"/>
      <c r="L55" s="390"/>
      <c r="M55" s="387"/>
      <c r="N55" s="390"/>
      <c r="O55" s="390"/>
      <c r="P55" s="387"/>
      <c r="Q55" s="387"/>
      <c r="R55" s="390"/>
      <c r="S55" s="400"/>
      <c r="T55" s="588"/>
      <c r="U55" s="588"/>
      <c r="V55" s="588"/>
      <c r="W55" s="588"/>
    </row>
    <row r="56" spans="1:23" x14ac:dyDescent="0.3">
      <c r="A56" s="4"/>
      <c r="B56" s="55" t="s">
        <v>34</v>
      </c>
      <c r="C56" s="266">
        <f t="shared" si="3"/>
        <v>0</v>
      </c>
      <c r="D56" s="266">
        <f t="shared" si="4"/>
        <v>0</v>
      </c>
      <c r="E56" s="266">
        <f t="shared" si="5"/>
        <v>0</v>
      </c>
      <c r="F56" s="304"/>
      <c r="G56" s="803">
        <f>COUNTIF(E$9:E$39,"E")</f>
        <v>0</v>
      </c>
      <c r="H56" s="803"/>
      <c r="I56" s="385"/>
      <c r="J56" s="672"/>
      <c r="K56" s="673"/>
      <c r="L56" s="390"/>
      <c r="M56" s="387"/>
      <c r="N56" s="390"/>
      <c r="O56" s="390"/>
      <c r="P56" s="387"/>
      <c r="Q56" s="387"/>
      <c r="R56" s="390"/>
      <c r="S56" s="400"/>
      <c r="T56" s="588"/>
      <c r="U56" s="588"/>
      <c r="V56" s="588"/>
      <c r="W56" s="588"/>
    </row>
    <row r="57" spans="1:23" x14ac:dyDescent="0.3">
      <c r="A57" s="4"/>
      <c r="B57" s="55" t="s">
        <v>82</v>
      </c>
      <c r="C57" s="266">
        <f t="shared" si="3"/>
        <v>0</v>
      </c>
      <c r="D57" s="266">
        <f t="shared" si="4"/>
        <v>0</v>
      </c>
      <c r="E57" s="266">
        <f t="shared" si="5"/>
        <v>0</v>
      </c>
      <c r="F57" s="304"/>
      <c r="G57" s="674"/>
      <c r="H57" s="674"/>
      <c r="I57" s="385"/>
      <c r="J57" s="672"/>
      <c r="K57" s="673"/>
      <c r="L57" s="390"/>
      <c r="M57" s="387"/>
      <c r="N57" s="390"/>
      <c r="O57" s="390"/>
      <c r="P57" s="387"/>
      <c r="Q57" s="387"/>
      <c r="R57" s="390"/>
      <c r="S57" s="400"/>
      <c r="T57" s="588"/>
      <c r="U57" s="588"/>
      <c r="V57" s="588"/>
      <c r="W57" s="588"/>
    </row>
    <row r="58" spans="1:23" ht="15" thickBot="1" x14ac:dyDescent="0.35">
      <c r="A58" s="8"/>
      <c r="B58" s="9"/>
      <c r="C58" s="9"/>
      <c r="D58" s="9"/>
      <c r="E58" s="9"/>
      <c r="F58" s="305"/>
      <c r="G58" s="9"/>
      <c r="H58" s="9"/>
      <c r="I58" s="9"/>
      <c r="J58" s="305"/>
      <c r="K58" s="675"/>
      <c r="L58" s="676"/>
      <c r="M58" s="677"/>
      <c r="N58" s="676"/>
      <c r="O58" s="676"/>
      <c r="P58" s="677"/>
      <c r="Q58" s="677"/>
      <c r="R58" s="676"/>
      <c r="S58" s="586"/>
      <c r="T58" s="588"/>
      <c r="U58" s="588"/>
      <c r="V58" s="588"/>
      <c r="W58" s="588"/>
    </row>
  </sheetData>
  <sheetProtection algorithmName="SHA-512" hashValue="cTu+NQYeYZkYFfKfmZTmroAiWp0UtJnkUAeJpg8mPJG4gIUfTvud9frVUUyxtaFMxrmMOPVL8PvkZXI4CvGPlA==" saltValue="muERAvoy6BQtACVYfaQU1g==" spinCount="100000" sheet="1" objects="1" scenarios="1"/>
  <mergeCells count="14">
    <mergeCell ref="B5:C5"/>
    <mergeCell ref="D5:E5"/>
    <mergeCell ref="G5:I5"/>
    <mergeCell ref="B6:C6"/>
    <mergeCell ref="D6:E6"/>
    <mergeCell ref="G54:H54"/>
    <mergeCell ref="G55:H55"/>
    <mergeCell ref="G56:H56"/>
    <mergeCell ref="C43:D43"/>
    <mergeCell ref="F43:I46"/>
    <mergeCell ref="C50:E50"/>
    <mergeCell ref="G50:H51"/>
    <mergeCell ref="G52:H52"/>
    <mergeCell ref="G53:H53"/>
  </mergeCells>
  <phoneticPr fontId="40" type="noConversion"/>
  <conditionalFormatting sqref="E44:E48">
    <cfRule type="cellIs" dxfId="64" priority="4" operator="equal">
      <formula>"Complete"</formula>
    </cfRule>
    <cfRule type="cellIs" dxfId="63" priority="5" operator="equal">
      <formula>"Incoomplete"</formula>
    </cfRule>
  </conditionalFormatting>
  <conditionalFormatting sqref="P6">
    <cfRule type="cellIs" dxfId="62" priority="2" operator="equal">
      <formula>"No"</formula>
    </cfRule>
    <cfRule type="cellIs" dxfId="61" priority="3" operator="equal">
      <formula>"Yes"</formula>
    </cfRule>
  </conditionalFormatting>
  <conditionalFormatting sqref="E47">
    <cfRule type="containsText" dxfId="60" priority="1" operator="containsText" text="incomplete">
      <formula>NOT(ISERROR(SEARCH("incomplete",E47)))</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D040ECA6-D3F8-4E6A-860F-D275CF7772FF}">
          <x14:formula1>
            <xm:f>Picklists!$W$2:$W$3</xm:f>
          </x14:formula1>
          <xm:sqref>P6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00B6B-384D-4980-9D56-DBE68489F20F}">
  <dimension ref="B1:I131"/>
  <sheetViews>
    <sheetView workbookViewId="0">
      <selection activeCell="C6" sqref="C6:E6"/>
    </sheetView>
  </sheetViews>
  <sheetFormatPr defaultRowHeight="14.4" x14ac:dyDescent="0.3"/>
  <cols>
    <col min="3" max="3" width="26.77734375" customWidth="1"/>
    <col min="4" max="4" width="14.21875" customWidth="1"/>
    <col min="5" max="5" width="11" customWidth="1"/>
    <col min="6" max="6" width="13.21875" customWidth="1"/>
    <col min="8" max="8" width="18.77734375" customWidth="1"/>
  </cols>
  <sheetData>
    <row r="1" spans="2:9" ht="15" thickBot="1" x14ac:dyDescent="0.35"/>
    <row r="2" spans="2:9" ht="18" thickBot="1" x14ac:dyDescent="0.35">
      <c r="B2" s="58"/>
      <c r="C2" s="819" t="s">
        <v>97</v>
      </c>
      <c r="D2" s="819"/>
      <c r="E2" s="819"/>
      <c r="F2" s="819"/>
      <c r="G2" s="819"/>
      <c r="H2" s="819"/>
      <c r="I2" s="317"/>
    </row>
    <row r="3" spans="2:9" x14ac:dyDescent="0.3">
      <c r="B3" s="4"/>
      <c r="C3" s="5"/>
      <c r="D3" s="5"/>
      <c r="E3" s="59"/>
      <c r="F3" s="5"/>
      <c r="G3" s="5"/>
      <c r="H3" s="5"/>
      <c r="I3" s="60"/>
    </row>
    <row r="4" spans="2:9" x14ac:dyDescent="0.3">
      <c r="B4" s="4"/>
      <c r="C4" s="44" t="s">
        <v>47</v>
      </c>
      <c r="D4" s="820">
        <f>+Introduction!E10</f>
        <v>0</v>
      </c>
      <c r="E4" s="820"/>
      <c r="F4" s="821"/>
      <c r="G4" s="61"/>
      <c r="H4" s="822" t="s">
        <v>98</v>
      </c>
      <c r="I4" s="60"/>
    </row>
    <row r="5" spans="2:9" x14ac:dyDescent="0.3">
      <c r="B5" s="4"/>
      <c r="C5" s="62" t="s">
        <v>795</v>
      </c>
      <c r="D5" s="820">
        <f>+Introduction!K10</f>
        <v>0</v>
      </c>
      <c r="E5" s="823"/>
      <c r="F5" s="821"/>
      <c r="G5" s="61"/>
      <c r="H5" s="822"/>
      <c r="I5" s="60"/>
    </row>
    <row r="6" spans="2:9" ht="38.25" customHeight="1" x14ac:dyDescent="0.3">
      <c r="B6" s="4"/>
      <c r="C6" s="818" t="s">
        <v>99</v>
      </c>
      <c r="D6" s="818"/>
      <c r="E6" s="818"/>
      <c r="F6" s="5"/>
      <c r="G6" s="5"/>
      <c r="H6" s="5"/>
      <c r="I6" s="60"/>
    </row>
    <row r="7" spans="2:9" ht="26.4" x14ac:dyDescent="0.3">
      <c r="B7" s="4"/>
      <c r="C7" s="64" t="s">
        <v>100</v>
      </c>
      <c r="D7" s="65" t="s">
        <v>101</v>
      </c>
      <c r="E7" s="66" t="s">
        <v>102</v>
      </c>
      <c r="F7" s="67" t="s">
        <v>103</v>
      </c>
      <c r="G7" s="68" t="s">
        <v>104</v>
      </c>
      <c r="H7" s="69" t="s">
        <v>105</v>
      </c>
      <c r="I7" s="70"/>
    </row>
    <row r="8" spans="2:9" ht="15" customHeight="1" x14ac:dyDescent="0.3">
      <c r="B8" s="4"/>
      <c r="C8" s="71" t="s">
        <v>106</v>
      </c>
      <c r="D8" s="72" t="s">
        <v>107</v>
      </c>
      <c r="E8" s="72">
        <v>10</v>
      </c>
      <c r="F8" s="73"/>
      <c r="G8" s="74">
        <f>IF(F8/E8&lt;1,0,(F8/E8))</f>
        <v>0</v>
      </c>
      <c r="H8" s="75"/>
      <c r="I8" s="60"/>
    </row>
    <row r="9" spans="2:9" ht="15" customHeight="1" x14ac:dyDescent="0.3">
      <c r="B9" s="4"/>
      <c r="C9" s="76" t="s">
        <v>108</v>
      </c>
      <c r="D9" s="77" t="s">
        <v>107</v>
      </c>
      <c r="E9" s="77">
        <v>10</v>
      </c>
      <c r="F9" s="73"/>
      <c r="G9" s="78">
        <f t="shared" ref="G9:G41" si="0">IF(F9/E9&lt;1,0,(F9/E9))</f>
        <v>0</v>
      </c>
      <c r="H9" s="75"/>
      <c r="I9" s="60"/>
    </row>
    <row r="10" spans="2:9" ht="15" customHeight="1" x14ac:dyDescent="0.3">
      <c r="B10" s="4"/>
      <c r="C10" s="76" t="s">
        <v>109</v>
      </c>
      <c r="D10" s="77" t="s">
        <v>107</v>
      </c>
      <c r="E10" s="77">
        <v>1000</v>
      </c>
      <c r="F10" s="73"/>
      <c r="G10" s="78">
        <f t="shared" si="0"/>
        <v>0</v>
      </c>
      <c r="H10" s="75"/>
      <c r="I10" s="60"/>
    </row>
    <row r="11" spans="2:9" ht="15" customHeight="1" x14ac:dyDescent="0.3">
      <c r="B11" s="4"/>
      <c r="C11" s="79"/>
      <c r="D11" s="80"/>
      <c r="E11" s="80"/>
      <c r="F11" s="80"/>
      <c r="G11" s="81"/>
      <c r="H11" s="82"/>
      <c r="I11" s="60"/>
    </row>
    <row r="12" spans="2:9" ht="15" customHeight="1" x14ac:dyDescent="0.3">
      <c r="B12" s="4"/>
      <c r="C12" s="79"/>
      <c r="D12" s="80"/>
      <c r="E12" s="80"/>
      <c r="F12" s="80"/>
      <c r="G12" s="81"/>
      <c r="H12" s="82"/>
      <c r="I12" s="60"/>
    </row>
    <row r="13" spans="2:9" ht="15" customHeight="1" x14ac:dyDescent="0.3">
      <c r="B13" s="4"/>
      <c r="C13" s="76" t="s">
        <v>110</v>
      </c>
      <c r="D13" s="77" t="s">
        <v>111</v>
      </c>
      <c r="E13" s="77">
        <v>1</v>
      </c>
      <c r="F13" s="73"/>
      <c r="G13" s="78">
        <f t="shared" si="0"/>
        <v>0</v>
      </c>
      <c r="H13" s="75"/>
      <c r="I13" s="60"/>
    </row>
    <row r="14" spans="2:9" ht="15" customHeight="1" x14ac:dyDescent="0.3">
      <c r="B14" s="4"/>
      <c r="C14" s="76" t="s">
        <v>112</v>
      </c>
      <c r="D14" s="77" t="s">
        <v>111</v>
      </c>
      <c r="E14" s="77">
        <v>1</v>
      </c>
      <c r="F14" s="73"/>
      <c r="G14" s="78">
        <f t="shared" si="0"/>
        <v>0</v>
      </c>
      <c r="H14" s="83"/>
      <c r="I14" s="60"/>
    </row>
    <row r="15" spans="2:9" ht="15" customHeight="1" x14ac:dyDescent="0.3">
      <c r="B15" s="4"/>
      <c r="C15" s="76" t="s">
        <v>113</v>
      </c>
      <c r="D15" s="77" t="s">
        <v>111</v>
      </c>
      <c r="E15" s="77">
        <v>1</v>
      </c>
      <c r="F15" s="73"/>
      <c r="G15" s="78">
        <f t="shared" si="0"/>
        <v>0</v>
      </c>
      <c r="H15" s="83"/>
      <c r="I15" s="60"/>
    </row>
    <row r="16" spans="2:9" ht="15" customHeight="1" x14ac:dyDescent="0.3">
      <c r="B16" s="4"/>
      <c r="C16" s="76" t="s">
        <v>114</v>
      </c>
      <c r="D16" s="77" t="s">
        <v>111</v>
      </c>
      <c r="E16" s="77">
        <v>1</v>
      </c>
      <c r="F16" s="73"/>
      <c r="G16" s="78">
        <f t="shared" si="0"/>
        <v>0</v>
      </c>
      <c r="H16" s="83"/>
      <c r="I16" s="60"/>
    </row>
    <row r="17" spans="2:9" ht="15" customHeight="1" x14ac:dyDescent="0.3">
      <c r="B17" s="4"/>
      <c r="C17" s="76"/>
      <c r="D17" s="77"/>
      <c r="E17" s="77"/>
      <c r="F17" s="77"/>
      <c r="G17" s="78"/>
      <c r="H17" s="84"/>
      <c r="I17" s="60"/>
    </row>
    <row r="18" spans="2:9" ht="15" customHeight="1" x14ac:dyDescent="0.3">
      <c r="B18" s="4"/>
      <c r="C18" s="76" t="s">
        <v>115</v>
      </c>
      <c r="D18" s="77" t="s">
        <v>111</v>
      </c>
      <c r="E18" s="77">
        <v>10</v>
      </c>
      <c r="F18" s="73"/>
      <c r="G18" s="78">
        <f t="shared" si="0"/>
        <v>0</v>
      </c>
      <c r="H18" s="83"/>
      <c r="I18" s="60"/>
    </row>
    <row r="19" spans="2:9" ht="15" customHeight="1" x14ac:dyDescent="0.3">
      <c r="B19" s="4"/>
      <c r="C19" s="76" t="s">
        <v>116</v>
      </c>
      <c r="D19" s="77" t="s">
        <v>111</v>
      </c>
      <c r="E19" s="77">
        <v>10</v>
      </c>
      <c r="F19" s="73"/>
      <c r="G19" s="78">
        <f t="shared" si="0"/>
        <v>0</v>
      </c>
      <c r="H19" s="83"/>
      <c r="I19" s="60"/>
    </row>
    <row r="20" spans="2:9" ht="15" customHeight="1" x14ac:dyDescent="0.3">
      <c r="B20" s="4"/>
      <c r="C20" s="76" t="s">
        <v>117</v>
      </c>
      <c r="D20" s="77" t="s">
        <v>111</v>
      </c>
      <c r="E20" s="77">
        <v>10</v>
      </c>
      <c r="F20" s="73"/>
      <c r="G20" s="78">
        <f t="shared" si="0"/>
        <v>0</v>
      </c>
      <c r="H20" s="83"/>
      <c r="I20" s="60"/>
    </row>
    <row r="21" spans="2:9" ht="15" customHeight="1" x14ac:dyDescent="0.3">
      <c r="B21" s="4"/>
      <c r="C21" s="76" t="s">
        <v>118</v>
      </c>
      <c r="D21" s="77" t="s">
        <v>111</v>
      </c>
      <c r="E21" s="77">
        <v>10</v>
      </c>
      <c r="F21" s="73"/>
      <c r="G21" s="78">
        <f t="shared" si="0"/>
        <v>0</v>
      </c>
      <c r="H21" s="83"/>
      <c r="I21" s="60"/>
    </row>
    <row r="22" spans="2:9" ht="15" customHeight="1" x14ac:dyDescent="0.3">
      <c r="B22" s="4"/>
      <c r="C22" s="76" t="s">
        <v>119</v>
      </c>
      <c r="D22" s="77" t="s">
        <v>111</v>
      </c>
      <c r="E22" s="77">
        <v>10</v>
      </c>
      <c r="F22" s="73"/>
      <c r="G22" s="78">
        <f t="shared" si="0"/>
        <v>0</v>
      </c>
      <c r="H22" s="83"/>
      <c r="I22" s="60"/>
    </row>
    <row r="23" spans="2:9" ht="15" customHeight="1" x14ac:dyDescent="0.3">
      <c r="B23" s="4"/>
      <c r="C23" s="76"/>
      <c r="D23" s="77"/>
      <c r="E23" s="77"/>
      <c r="F23" s="77"/>
      <c r="G23" s="78"/>
      <c r="H23" s="84"/>
      <c r="I23" s="60"/>
    </row>
    <row r="24" spans="2:9" ht="15" customHeight="1" x14ac:dyDescent="0.3">
      <c r="B24" s="4"/>
      <c r="C24" s="85" t="s">
        <v>120</v>
      </c>
      <c r="D24" s="77"/>
      <c r="E24" s="77"/>
      <c r="F24" s="86"/>
      <c r="G24" s="78"/>
      <c r="H24" s="83"/>
      <c r="I24" s="60"/>
    </row>
    <row r="25" spans="2:9" ht="15" customHeight="1" x14ac:dyDescent="0.3">
      <c r="B25" s="4"/>
      <c r="C25" s="87"/>
      <c r="D25" s="77" t="s">
        <v>111</v>
      </c>
      <c r="E25" s="77">
        <v>100</v>
      </c>
      <c r="F25" s="73"/>
      <c r="G25" s="78">
        <f t="shared" si="0"/>
        <v>0</v>
      </c>
      <c r="H25" s="83"/>
      <c r="I25" s="60"/>
    </row>
    <row r="26" spans="2:9" ht="15" customHeight="1" x14ac:dyDescent="0.3">
      <c r="B26" s="4"/>
      <c r="C26" s="87"/>
      <c r="D26" s="77" t="s">
        <v>111</v>
      </c>
      <c r="E26" s="77">
        <v>100</v>
      </c>
      <c r="F26" s="73"/>
      <c r="G26" s="78">
        <f t="shared" si="0"/>
        <v>0</v>
      </c>
      <c r="H26" s="83"/>
      <c r="I26" s="60"/>
    </row>
    <row r="27" spans="2:9" ht="15" customHeight="1" x14ac:dyDescent="0.3">
      <c r="B27" s="4"/>
      <c r="C27" s="87"/>
      <c r="D27" s="77" t="s">
        <v>111</v>
      </c>
      <c r="E27" s="77">
        <v>100</v>
      </c>
      <c r="F27" s="73"/>
      <c r="G27" s="78">
        <f t="shared" si="0"/>
        <v>0</v>
      </c>
      <c r="H27" s="83"/>
      <c r="I27" s="60"/>
    </row>
    <row r="28" spans="2:9" ht="15" customHeight="1" x14ac:dyDescent="0.3">
      <c r="B28" s="4"/>
      <c r="C28" s="87"/>
      <c r="D28" s="77" t="s">
        <v>111</v>
      </c>
      <c r="E28" s="77">
        <v>100</v>
      </c>
      <c r="F28" s="73"/>
      <c r="G28" s="78">
        <f t="shared" si="0"/>
        <v>0</v>
      </c>
      <c r="H28" s="83"/>
      <c r="I28" s="60"/>
    </row>
    <row r="29" spans="2:9" ht="15" customHeight="1" x14ac:dyDescent="0.3">
      <c r="B29" s="4"/>
      <c r="C29" s="88"/>
      <c r="D29" s="77" t="s">
        <v>111</v>
      </c>
      <c r="E29" s="77">
        <v>100</v>
      </c>
      <c r="F29" s="73"/>
      <c r="G29" s="78">
        <f t="shared" si="0"/>
        <v>0</v>
      </c>
      <c r="H29" s="83"/>
      <c r="I29" s="60"/>
    </row>
    <row r="30" spans="2:9" ht="15" customHeight="1" x14ac:dyDescent="0.3">
      <c r="B30" s="4"/>
      <c r="C30" s="76"/>
      <c r="D30" s="77"/>
      <c r="E30" s="77"/>
      <c r="F30" s="77"/>
      <c r="G30" s="78"/>
      <c r="H30" s="84"/>
      <c r="I30" s="60"/>
    </row>
    <row r="31" spans="2:9" ht="15" customHeight="1" x14ac:dyDescent="0.3">
      <c r="B31" s="4"/>
      <c r="C31" s="85" t="s">
        <v>123</v>
      </c>
      <c r="D31" s="77"/>
      <c r="E31" s="77"/>
      <c r="F31" s="73"/>
      <c r="G31" s="78"/>
      <c r="H31" s="83"/>
      <c r="I31" s="60"/>
    </row>
    <row r="32" spans="2:9" ht="15" customHeight="1" x14ac:dyDescent="0.3">
      <c r="B32" s="4"/>
      <c r="C32" s="76" t="s">
        <v>124</v>
      </c>
      <c r="D32" s="77" t="s">
        <v>125</v>
      </c>
      <c r="E32" s="77">
        <v>0.1</v>
      </c>
      <c r="F32" s="73"/>
      <c r="G32" s="78">
        <f t="shared" si="0"/>
        <v>0</v>
      </c>
      <c r="H32" s="83"/>
      <c r="I32" s="60"/>
    </row>
    <row r="33" spans="2:9" ht="15" customHeight="1" x14ac:dyDescent="0.3">
      <c r="B33" s="4"/>
      <c r="C33" s="76" t="s">
        <v>126</v>
      </c>
      <c r="D33" s="77" t="s">
        <v>127</v>
      </c>
      <c r="E33" s="77">
        <v>0.1</v>
      </c>
      <c r="F33" s="73"/>
      <c r="G33" s="78">
        <f t="shared" si="0"/>
        <v>0</v>
      </c>
      <c r="H33" s="83"/>
      <c r="I33" s="60"/>
    </row>
    <row r="34" spans="2:9" ht="15" customHeight="1" x14ac:dyDescent="0.3">
      <c r="B34" s="4"/>
      <c r="C34" s="76"/>
      <c r="D34" s="77"/>
      <c r="E34" s="77"/>
      <c r="F34" s="77"/>
      <c r="G34" s="78"/>
      <c r="H34" s="84"/>
      <c r="I34" s="60"/>
    </row>
    <row r="35" spans="2:9" ht="15" customHeight="1" x14ac:dyDescent="0.3">
      <c r="B35" s="4"/>
      <c r="C35" s="76" t="s">
        <v>128</v>
      </c>
      <c r="D35" s="77" t="s">
        <v>111</v>
      </c>
      <c r="E35" s="77">
        <v>1</v>
      </c>
      <c r="F35" s="73"/>
      <c r="G35" s="78">
        <f t="shared" si="0"/>
        <v>0</v>
      </c>
      <c r="H35" s="83"/>
      <c r="I35" s="60"/>
    </row>
    <row r="36" spans="2:9" ht="15" customHeight="1" x14ac:dyDescent="0.3">
      <c r="B36" s="4"/>
      <c r="C36" s="76" t="s">
        <v>129</v>
      </c>
      <c r="D36" s="77" t="s">
        <v>111</v>
      </c>
      <c r="E36" s="77">
        <v>1</v>
      </c>
      <c r="F36" s="73"/>
      <c r="G36" s="78">
        <f t="shared" si="0"/>
        <v>0</v>
      </c>
      <c r="H36" s="83"/>
      <c r="I36" s="60"/>
    </row>
    <row r="37" spans="2:9" ht="15" customHeight="1" x14ac:dyDescent="0.3">
      <c r="B37" s="4"/>
      <c r="C37" s="76" t="s">
        <v>130</v>
      </c>
      <c r="D37" s="77" t="s">
        <v>111</v>
      </c>
      <c r="E37" s="77">
        <v>1</v>
      </c>
      <c r="F37" s="73"/>
      <c r="G37" s="78">
        <f t="shared" si="0"/>
        <v>0</v>
      </c>
      <c r="H37" s="83"/>
      <c r="I37" s="60"/>
    </row>
    <row r="38" spans="2:9" ht="15" customHeight="1" x14ac:dyDescent="0.3">
      <c r="B38" s="4"/>
      <c r="C38" s="76" t="s">
        <v>131</v>
      </c>
      <c r="D38" s="77" t="s">
        <v>111</v>
      </c>
      <c r="E38" s="77">
        <v>1</v>
      </c>
      <c r="F38" s="73"/>
      <c r="G38" s="78">
        <f t="shared" si="0"/>
        <v>0</v>
      </c>
      <c r="H38" s="83"/>
      <c r="I38" s="60"/>
    </row>
    <row r="39" spans="2:9" ht="15" customHeight="1" x14ac:dyDescent="0.3">
      <c r="B39" s="4"/>
      <c r="C39" s="76" t="s">
        <v>132</v>
      </c>
      <c r="D39" s="77" t="s">
        <v>111</v>
      </c>
      <c r="E39" s="77">
        <v>1</v>
      </c>
      <c r="F39" s="73"/>
      <c r="G39" s="78">
        <f t="shared" si="0"/>
        <v>0</v>
      </c>
      <c r="H39" s="83"/>
      <c r="I39" s="60"/>
    </row>
    <row r="40" spans="2:9" ht="15" customHeight="1" x14ac:dyDescent="0.3">
      <c r="B40" s="4"/>
      <c r="C40" s="76"/>
      <c r="D40" s="77"/>
      <c r="E40" s="77"/>
      <c r="F40" s="77"/>
      <c r="G40" s="78"/>
      <c r="H40" s="84"/>
      <c r="I40" s="60"/>
    </row>
    <row r="41" spans="2:9" ht="15" customHeight="1" x14ac:dyDescent="0.3">
      <c r="B41" s="4"/>
      <c r="C41" s="76" t="s">
        <v>133</v>
      </c>
      <c r="D41" s="77" t="s">
        <v>111</v>
      </c>
      <c r="E41" s="77">
        <v>10</v>
      </c>
      <c r="F41" s="73"/>
      <c r="G41" s="78">
        <f t="shared" si="0"/>
        <v>0</v>
      </c>
      <c r="H41" s="83"/>
      <c r="I41" s="60"/>
    </row>
    <row r="42" spans="2:9" ht="15" customHeight="1" x14ac:dyDescent="0.3">
      <c r="B42" s="4"/>
      <c r="C42" s="76" t="s">
        <v>134</v>
      </c>
      <c r="D42" s="77" t="s">
        <v>111</v>
      </c>
      <c r="E42" s="77">
        <v>10</v>
      </c>
      <c r="F42" s="73"/>
      <c r="G42" s="78">
        <f>IF(F42/E42&lt;1,0,(F42/E42))</f>
        <v>0</v>
      </c>
      <c r="H42" s="83"/>
      <c r="I42" s="60"/>
    </row>
    <row r="43" spans="2:9" ht="15" customHeight="1" x14ac:dyDescent="0.3">
      <c r="B43" s="4"/>
      <c r="C43" s="76" t="s">
        <v>135</v>
      </c>
      <c r="D43" s="77" t="s">
        <v>111</v>
      </c>
      <c r="E43" s="77">
        <v>10</v>
      </c>
      <c r="F43" s="73"/>
      <c r="G43" s="78">
        <f>IF(F43/E43&lt;1,0,(F43/E43))</f>
        <v>0</v>
      </c>
      <c r="H43" s="83"/>
      <c r="I43" s="60"/>
    </row>
    <row r="44" spans="2:9" ht="15" customHeight="1" x14ac:dyDescent="0.3">
      <c r="B44" s="4"/>
      <c r="C44" s="76" t="s">
        <v>136</v>
      </c>
      <c r="D44" s="77" t="s">
        <v>111</v>
      </c>
      <c r="E44" s="77">
        <v>10</v>
      </c>
      <c r="F44" s="73"/>
      <c r="G44" s="78">
        <f t="shared" ref="G44:G52" si="1">IF(F44/E44&lt;1,0,(F44/E44))</f>
        <v>0</v>
      </c>
      <c r="H44" s="83"/>
      <c r="I44" s="60"/>
    </row>
    <row r="45" spans="2:9" ht="15" customHeight="1" x14ac:dyDescent="0.3">
      <c r="B45" s="4"/>
      <c r="C45" s="76" t="s">
        <v>137</v>
      </c>
      <c r="D45" s="77" t="s">
        <v>111</v>
      </c>
      <c r="E45" s="77">
        <v>10</v>
      </c>
      <c r="F45" s="73"/>
      <c r="G45" s="78">
        <f t="shared" si="1"/>
        <v>0</v>
      </c>
      <c r="H45" s="83"/>
      <c r="I45" s="60"/>
    </row>
    <row r="46" spans="2:9" ht="15" customHeight="1" x14ac:dyDescent="0.3">
      <c r="B46" s="4"/>
      <c r="C46" s="76" t="s">
        <v>138</v>
      </c>
      <c r="D46" s="77" t="s">
        <v>111</v>
      </c>
      <c r="E46" s="77">
        <v>10</v>
      </c>
      <c r="F46" s="73"/>
      <c r="G46" s="78">
        <f t="shared" si="1"/>
        <v>0</v>
      </c>
      <c r="H46" s="83"/>
      <c r="I46" s="60"/>
    </row>
    <row r="47" spans="2:9" ht="15" customHeight="1" x14ac:dyDescent="0.3">
      <c r="B47" s="4"/>
      <c r="C47" s="76" t="s">
        <v>139</v>
      </c>
      <c r="D47" s="77" t="s">
        <v>111</v>
      </c>
      <c r="E47" s="77">
        <v>10</v>
      </c>
      <c r="F47" s="73"/>
      <c r="G47" s="78">
        <f t="shared" si="1"/>
        <v>0</v>
      </c>
      <c r="H47" s="83"/>
      <c r="I47" s="60"/>
    </row>
    <row r="48" spans="2:9" ht="15" customHeight="1" x14ac:dyDescent="0.3">
      <c r="B48" s="4"/>
      <c r="C48" s="76" t="s">
        <v>140</v>
      </c>
      <c r="D48" s="77" t="s">
        <v>111</v>
      </c>
      <c r="E48" s="77">
        <v>10</v>
      </c>
      <c r="F48" s="73"/>
      <c r="G48" s="78">
        <f t="shared" si="1"/>
        <v>0</v>
      </c>
      <c r="H48" s="83"/>
      <c r="I48" s="60"/>
    </row>
    <row r="49" spans="2:9" ht="15" customHeight="1" x14ac:dyDescent="0.3">
      <c r="B49" s="4"/>
      <c r="C49" s="76" t="s">
        <v>141</v>
      </c>
      <c r="D49" s="77" t="s">
        <v>111</v>
      </c>
      <c r="E49" s="77">
        <v>10</v>
      </c>
      <c r="F49" s="73"/>
      <c r="G49" s="78">
        <f t="shared" si="1"/>
        <v>0</v>
      </c>
      <c r="H49" s="83"/>
      <c r="I49" s="60"/>
    </row>
    <row r="50" spans="2:9" ht="15" customHeight="1" x14ac:dyDescent="0.3">
      <c r="B50" s="4"/>
      <c r="C50" s="76" t="s">
        <v>142</v>
      </c>
      <c r="D50" s="77" t="s">
        <v>111</v>
      </c>
      <c r="E50" s="77">
        <v>10</v>
      </c>
      <c r="F50" s="73"/>
      <c r="G50" s="78">
        <f t="shared" si="1"/>
        <v>0</v>
      </c>
      <c r="H50" s="83"/>
      <c r="I50" s="60"/>
    </row>
    <row r="51" spans="2:9" ht="15" customHeight="1" x14ac:dyDescent="0.3">
      <c r="B51" s="4"/>
      <c r="C51" s="76" t="s">
        <v>143</v>
      </c>
      <c r="D51" s="77" t="s">
        <v>111</v>
      </c>
      <c r="E51" s="77">
        <v>10</v>
      </c>
      <c r="F51" s="73"/>
      <c r="G51" s="78">
        <f t="shared" si="1"/>
        <v>0</v>
      </c>
      <c r="H51" s="83"/>
      <c r="I51" s="60"/>
    </row>
    <row r="52" spans="2:9" ht="15" customHeight="1" x14ac:dyDescent="0.3">
      <c r="B52" s="4"/>
      <c r="C52" s="76" t="s">
        <v>144</v>
      </c>
      <c r="D52" s="77" t="s">
        <v>111</v>
      </c>
      <c r="E52" s="77">
        <v>10</v>
      </c>
      <c r="F52" s="73"/>
      <c r="G52" s="78">
        <f t="shared" si="1"/>
        <v>0</v>
      </c>
      <c r="H52" s="83"/>
      <c r="I52" s="60"/>
    </row>
    <row r="53" spans="2:9" ht="15" customHeight="1" x14ac:dyDescent="0.3">
      <c r="B53" s="4"/>
      <c r="C53" s="76"/>
      <c r="D53" s="77"/>
      <c r="E53" s="77"/>
      <c r="F53" s="77"/>
      <c r="G53" s="78"/>
      <c r="H53" s="84"/>
      <c r="I53" s="60"/>
    </row>
    <row r="54" spans="2:9" ht="15" customHeight="1" x14ac:dyDescent="0.3">
      <c r="B54" s="4"/>
      <c r="C54" s="76"/>
      <c r="D54" s="77"/>
      <c r="E54" s="77"/>
      <c r="F54" s="77"/>
      <c r="G54" s="78"/>
      <c r="H54" s="84"/>
      <c r="I54" s="60"/>
    </row>
    <row r="55" spans="2:9" ht="15" customHeight="1" x14ac:dyDescent="0.3">
      <c r="B55" s="4"/>
      <c r="C55" s="76" t="s">
        <v>145</v>
      </c>
      <c r="D55" s="77" t="s">
        <v>111</v>
      </c>
      <c r="E55" s="77">
        <v>100</v>
      </c>
      <c r="F55" s="73"/>
      <c r="G55" s="78">
        <f>IF(F55/E55&lt;1,0,(F55/E55))</f>
        <v>0</v>
      </c>
      <c r="H55" s="83"/>
      <c r="I55" s="60"/>
    </row>
    <row r="56" spans="2:9" ht="15" customHeight="1" x14ac:dyDescent="0.3">
      <c r="B56" s="4"/>
      <c r="C56" s="76" t="s">
        <v>146</v>
      </c>
      <c r="D56" s="77" t="s">
        <v>111</v>
      </c>
      <c r="E56" s="77">
        <v>100</v>
      </c>
      <c r="F56" s="73"/>
      <c r="G56" s="78">
        <f t="shared" ref="G56:G73" si="2">IF(F56/E56&lt;1,0,(F56/E56))</f>
        <v>0</v>
      </c>
      <c r="H56" s="83"/>
      <c r="I56" s="60"/>
    </row>
    <row r="57" spans="2:9" ht="15" customHeight="1" x14ac:dyDescent="0.3">
      <c r="B57" s="4"/>
      <c r="C57" s="76" t="s">
        <v>147</v>
      </c>
      <c r="D57" s="77" t="s">
        <v>111</v>
      </c>
      <c r="E57" s="77">
        <v>100</v>
      </c>
      <c r="F57" s="73"/>
      <c r="G57" s="78">
        <f t="shared" si="2"/>
        <v>0</v>
      </c>
      <c r="H57" s="83"/>
      <c r="I57" s="60"/>
    </row>
    <row r="58" spans="2:9" ht="15" customHeight="1" x14ac:dyDescent="0.3">
      <c r="B58" s="4"/>
      <c r="C58" s="76" t="s">
        <v>148</v>
      </c>
      <c r="D58" s="77" t="s">
        <v>111</v>
      </c>
      <c r="E58" s="77">
        <v>100</v>
      </c>
      <c r="F58" s="73"/>
      <c r="G58" s="78">
        <f t="shared" si="2"/>
        <v>0</v>
      </c>
      <c r="H58" s="83"/>
      <c r="I58" s="60"/>
    </row>
    <row r="59" spans="2:9" ht="15" customHeight="1" x14ac:dyDescent="0.3">
      <c r="B59" s="4"/>
      <c r="C59" s="76" t="s">
        <v>149</v>
      </c>
      <c r="D59" s="77" t="s">
        <v>111</v>
      </c>
      <c r="E59" s="77">
        <v>100</v>
      </c>
      <c r="F59" s="73"/>
      <c r="G59" s="78">
        <f t="shared" si="2"/>
        <v>0</v>
      </c>
      <c r="H59" s="83"/>
      <c r="I59" s="60"/>
    </row>
    <row r="60" spans="2:9" ht="15" customHeight="1" x14ac:dyDescent="0.3">
      <c r="B60" s="4"/>
      <c r="C60" s="76" t="s">
        <v>150</v>
      </c>
      <c r="D60" s="77" t="s">
        <v>111</v>
      </c>
      <c r="E60" s="77">
        <v>100</v>
      </c>
      <c r="F60" s="73"/>
      <c r="G60" s="78">
        <f t="shared" si="2"/>
        <v>0</v>
      </c>
      <c r="H60" s="83"/>
      <c r="I60" s="60"/>
    </row>
    <row r="61" spans="2:9" ht="15" customHeight="1" x14ac:dyDescent="0.3">
      <c r="B61" s="4"/>
      <c r="C61" s="76" t="s">
        <v>151</v>
      </c>
      <c r="D61" s="77" t="s">
        <v>111</v>
      </c>
      <c r="E61" s="77">
        <v>100</v>
      </c>
      <c r="F61" s="73"/>
      <c r="G61" s="78">
        <f t="shared" si="2"/>
        <v>0</v>
      </c>
      <c r="H61" s="83"/>
      <c r="I61" s="60"/>
    </row>
    <row r="62" spans="2:9" ht="15" customHeight="1" x14ac:dyDescent="0.3">
      <c r="B62" s="4"/>
      <c r="C62" s="76" t="s">
        <v>152</v>
      </c>
      <c r="D62" s="77" t="s">
        <v>111</v>
      </c>
      <c r="E62" s="77">
        <v>100</v>
      </c>
      <c r="F62" s="73"/>
      <c r="G62" s="78">
        <f t="shared" si="2"/>
        <v>0</v>
      </c>
      <c r="H62" s="83"/>
      <c r="I62" s="60"/>
    </row>
    <row r="63" spans="2:9" ht="15" customHeight="1" x14ac:dyDescent="0.3">
      <c r="B63" s="4"/>
      <c r="C63" s="76" t="s">
        <v>153</v>
      </c>
      <c r="D63" s="77" t="s">
        <v>111</v>
      </c>
      <c r="E63" s="77">
        <v>100</v>
      </c>
      <c r="F63" s="73"/>
      <c r="G63" s="78">
        <f t="shared" si="2"/>
        <v>0</v>
      </c>
      <c r="H63" s="83"/>
      <c r="I63" s="60"/>
    </row>
    <row r="64" spans="2:9" ht="15" customHeight="1" x14ac:dyDescent="0.3">
      <c r="B64" s="4"/>
      <c r="C64" s="76" t="s">
        <v>154</v>
      </c>
      <c r="D64" s="77" t="s">
        <v>111</v>
      </c>
      <c r="E64" s="77">
        <v>100</v>
      </c>
      <c r="F64" s="73"/>
      <c r="G64" s="78">
        <f t="shared" si="2"/>
        <v>0</v>
      </c>
      <c r="H64" s="83"/>
      <c r="I64" s="60"/>
    </row>
    <row r="65" spans="2:9" ht="15" customHeight="1" x14ac:dyDescent="0.3">
      <c r="B65" s="4"/>
      <c r="C65" s="76" t="s">
        <v>155</v>
      </c>
      <c r="D65" s="77" t="s">
        <v>111</v>
      </c>
      <c r="E65" s="77">
        <v>100</v>
      </c>
      <c r="F65" s="73"/>
      <c r="G65" s="78">
        <f t="shared" si="2"/>
        <v>0</v>
      </c>
      <c r="H65" s="83"/>
      <c r="I65" s="60"/>
    </row>
    <row r="66" spans="2:9" ht="15" customHeight="1" x14ac:dyDescent="0.3">
      <c r="B66" s="4"/>
      <c r="C66" s="76" t="s">
        <v>156</v>
      </c>
      <c r="D66" s="77" t="s">
        <v>111</v>
      </c>
      <c r="E66" s="77">
        <v>100</v>
      </c>
      <c r="F66" s="73"/>
      <c r="G66" s="78">
        <f t="shared" si="2"/>
        <v>0</v>
      </c>
      <c r="H66" s="83"/>
      <c r="I66" s="60"/>
    </row>
    <row r="67" spans="2:9" ht="15" customHeight="1" x14ac:dyDescent="0.3">
      <c r="B67" s="4"/>
      <c r="C67" s="76" t="s">
        <v>157</v>
      </c>
      <c r="D67" s="77" t="s">
        <v>111</v>
      </c>
      <c r="E67" s="77">
        <v>100</v>
      </c>
      <c r="F67" s="73"/>
      <c r="G67" s="78">
        <f t="shared" si="2"/>
        <v>0</v>
      </c>
      <c r="H67" s="83"/>
      <c r="I67" s="60"/>
    </row>
    <row r="68" spans="2:9" ht="15" customHeight="1" x14ac:dyDescent="0.3">
      <c r="B68" s="4"/>
      <c r="C68" s="76" t="s">
        <v>158</v>
      </c>
      <c r="D68" s="77" t="s">
        <v>111</v>
      </c>
      <c r="E68" s="77">
        <v>100</v>
      </c>
      <c r="F68" s="73"/>
      <c r="G68" s="78">
        <f t="shared" si="2"/>
        <v>0</v>
      </c>
      <c r="H68" s="83"/>
      <c r="I68" s="60"/>
    </row>
    <row r="69" spans="2:9" ht="15" customHeight="1" x14ac:dyDescent="0.3">
      <c r="B69" s="4"/>
      <c r="C69" s="76" t="s">
        <v>159</v>
      </c>
      <c r="D69" s="77" t="s">
        <v>111</v>
      </c>
      <c r="E69" s="77">
        <v>100</v>
      </c>
      <c r="F69" s="73"/>
      <c r="G69" s="78">
        <f t="shared" si="2"/>
        <v>0</v>
      </c>
      <c r="H69" s="83"/>
      <c r="I69" s="60"/>
    </row>
    <row r="70" spans="2:9" ht="15" customHeight="1" x14ac:dyDescent="0.3">
      <c r="B70" s="4"/>
      <c r="C70" s="76" t="s">
        <v>160</v>
      </c>
      <c r="D70" s="77" t="s">
        <v>111</v>
      </c>
      <c r="E70" s="77">
        <v>100</v>
      </c>
      <c r="F70" s="73"/>
      <c r="G70" s="78">
        <f t="shared" si="2"/>
        <v>0</v>
      </c>
      <c r="H70" s="83"/>
      <c r="I70" s="60"/>
    </row>
    <row r="71" spans="2:9" ht="15" customHeight="1" x14ac:dyDescent="0.3">
      <c r="B71" s="4"/>
      <c r="C71" s="76" t="s">
        <v>161</v>
      </c>
      <c r="D71" s="77" t="s">
        <v>111</v>
      </c>
      <c r="E71" s="77">
        <v>100</v>
      </c>
      <c r="F71" s="73"/>
      <c r="G71" s="78">
        <f t="shared" si="2"/>
        <v>0</v>
      </c>
      <c r="H71" s="83"/>
      <c r="I71" s="60"/>
    </row>
    <row r="72" spans="2:9" ht="15" customHeight="1" x14ac:dyDescent="0.3">
      <c r="B72" s="4"/>
      <c r="C72" s="76" t="s">
        <v>162</v>
      </c>
      <c r="D72" s="77" t="s">
        <v>111</v>
      </c>
      <c r="E72" s="77">
        <v>100</v>
      </c>
      <c r="F72" s="73"/>
      <c r="G72" s="78">
        <f t="shared" si="2"/>
        <v>0</v>
      </c>
      <c r="H72" s="83"/>
      <c r="I72" s="60"/>
    </row>
    <row r="73" spans="2:9" ht="15" customHeight="1" x14ac:dyDescent="0.3">
      <c r="B73" s="4"/>
      <c r="C73" s="76" t="s">
        <v>163</v>
      </c>
      <c r="D73" s="77" t="s">
        <v>111</v>
      </c>
      <c r="E73" s="77">
        <v>100</v>
      </c>
      <c r="F73" s="73"/>
      <c r="G73" s="78">
        <f t="shared" si="2"/>
        <v>0</v>
      </c>
      <c r="H73" s="83"/>
      <c r="I73" s="60"/>
    </row>
    <row r="74" spans="2:9" ht="15" customHeight="1" x14ac:dyDescent="0.3">
      <c r="B74" s="4"/>
      <c r="C74" s="76"/>
      <c r="D74" s="77" t="s">
        <v>111</v>
      </c>
      <c r="E74" s="77"/>
      <c r="F74" s="77"/>
      <c r="G74" s="78"/>
      <c r="H74" s="84"/>
      <c r="I74" s="60"/>
    </row>
    <row r="75" spans="2:9" ht="15" customHeight="1" x14ac:dyDescent="0.3">
      <c r="B75" s="4"/>
      <c r="C75" s="76" t="s">
        <v>164</v>
      </c>
      <c r="D75" s="77" t="s">
        <v>111</v>
      </c>
      <c r="E75" s="77">
        <v>500</v>
      </c>
      <c r="F75" s="73"/>
      <c r="G75" s="78">
        <f t="shared" ref="G75:G92" si="3">IF(F75/E75&lt;1,0,(F75/E75))</f>
        <v>0</v>
      </c>
      <c r="H75" s="83"/>
      <c r="I75" s="60"/>
    </row>
    <row r="76" spans="2:9" ht="15" customHeight="1" x14ac:dyDescent="0.3">
      <c r="B76" s="4"/>
      <c r="C76" s="76" t="s">
        <v>165</v>
      </c>
      <c r="D76" s="77" t="s">
        <v>111</v>
      </c>
      <c r="E76" s="77">
        <v>500</v>
      </c>
      <c r="F76" s="73"/>
      <c r="G76" s="78">
        <f t="shared" si="3"/>
        <v>0</v>
      </c>
      <c r="H76" s="83"/>
      <c r="I76" s="60"/>
    </row>
    <row r="77" spans="2:9" ht="15" customHeight="1" x14ac:dyDescent="0.3">
      <c r="B77" s="4"/>
      <c r="C77" s="76" t="s">
        <v>166</v>
      </c>
      <c r="D77" s="77" t="s">
        <v>111</v>
      </c>
      <c r="E77" s="77">
        <v>500</v>
      </c>
      <c r="F77" s="73"/>
      <c r="G77" s="78">
        <f t="shared" si="3"/>
        <v>0</v>
      </c>
      <c r="H77" s="83"/>
      <c r="I77" s="60"/>
    </row>
    <row r="78" spans="2:9" ht="15" customHeight="1" x14ac:dyDescent="0.3">
      <c r="B78" s="4"/>
      <c r="C78" s="76" t="s">
        <v>167</v>
      </c>
      <c r="D78" s="77" t="s">
        <v>111</v>
      </c>
      <c r="E78" s="77">
        <v>500</v>
      </c>
      <c r="F78" s="73"/>
      <c r="G78" s="78">
        <f t="shared" si="3"/>
        <v>0</v>
      </c>
      <c r="H78" s="83"/>
      <c r="I78" s="60"/>
    </row>
    <row r="79" spans="2:9" ht="15" customHeight="1" x14ac:dyDescent="0.3">
      <c r="B79" s="4"/>
      <c r="C79" s="76" t="s">
        <v>168</v>
      </c>
      <c r="D79" s="77" t="s">
        <v>111</v>
      </c>
      <c r="E79" s="77">
        <v>500</v>
      </c>
      <c r="F79" s="73"/>
      <c r="G79" s="78">
        <f t="shared" si="3"/>
        <v>0</v>
      </c>
      <c r="H79" s="83"/>
      <c r="I79" s="60"/>
    </row>
    <row r="80" spans="2:9" ht="15" customHeight="1" x14ac:dyDescent="0.3">
      <c r="B80" s="4"/>
      <c r="C80" s="76" t="s">
        <v>169</v>
      </c>
      <c r="D80" s="77" t="s">
        <v>111</v>
      </c>
      <c r="E80" s="77">
        <v>500</v>
      </c>
      <c r="F80" s="73"/>
      <c r="G80" s="78">
        <f t="shared" si="3"/>
        <v>0</v>
      </c>
      <c r="H80" s="83"/>
      <c r="I80" s="60"/>
    </row>
    <row r="81" spans="2:9" ht="15" customHeight="1" x14ac:dyDescent="0.3">
      <c r="B81" s="4"/>
      <c r="C81" s="76" t="s">
        <v>170</v>
      </c>
      <c r="D81" s="77" t="s">
        <v>111</v>
      </c>
      <c r="E81" s="77">
        <v>500</v>
      </c>
      <c r="F81" s="73"/>
      <c r="G81" s="78">
        <f t="shared" si="3"/>
        <v>0</v>
      </c>
      <c r="H81" s="83"/>
      <c r="I81" s="60"/>
    </row>
    <row r="82" spans="2:9" ht="15" customHeight="1" x14ac:dyDescent="0.3">
      <c r="B82" s="4"/>
      <c r="C82" s="76" t="s">
        <v>171</v>
      </c>
      <c r="D82" s="77" t="s">
        <v>111</v>
      </c>
      <c r="E82" s="77">
        <v>500</v>
      </c>
      <c r="F82" s="73"/>
      <c r="G82" s="78">
        <f t="shared" si="3"/>
        <v>0</v>
      </c>
      <c r="H82" s="83"/>
      <c r="I82" s="60"/>
    </row>
    <row r="83" spans="2:9" ht="15" customHeight="1" x14ac:dyDescent="0.3">
      <c r="B83" s="4"/>
      <c r="C83" s="76" t="s">
        <v>172</v>
      </c>
      <c r="D83" s="77" t="s">
        <v>111</v>
      </c>
      <c r="E83" s="77">
        <v>500</v>
      </c>
      <c r="F83" s="73"/>
      <c r="G83" s="78">
        <f t="shared" si="3"/>
        <v>0</v>
      </c>
      <c r="H83" s="83"/>
      <c r="I83" s="60"/>
    </row>
    <row r="84" spans="2:9" ht="15" customHeight="1" x14ac:dyDescent="0.3">
      <c r="B84" s="4"/>
      <c r="C84" s="76" t="s">
        <v>173</v>
      </c>
      <c r="D84" s="77" t="s">
        <v>111</v>
      </c>
      <c r="E84" s="77">
        <v>500</v>
      </c>
      <c r="F84" s="73"/>
      <c r="G84" s="78">
        <f t="shared" si="3"/>
        <v>0</v>
      </c>
      <c r="H84" s="83"/>
      <c r="I84" s="60"/>
    </row>
    <row r="85" spans="2:9" ht="15" customHeight="1" x14ac:dyDescent="0.3">
      <c r="B85" s="4"/>
      <c r="C85" s="76" t="s">
        <v>174</v>
      </c>
      <c r="D85" s="77" t="s">
        <v>111</v>
      </c>
      <c r="E85" s="77">
        <v>500</v>
      </c>
      <c r="F85" s="73"/>
      <c r="G85" s="78">
        <f t="shared" si="3"/>
        <v>0</v>
      </c>
      <c r="H85" s="83"/>
      <c r="I85" s="60"/>
    </row>
    <row r="86" spans="2:9" ht="15" customHeight="1" x14ac:dyDescent="0.3">
      <c r="B86" s="4"/>
      <c r="C86" s="76" t="s">
        <v>175</v>
      </c>
      <c r="D86" s="77" t="s">
        <v>111</v>
      </c>
      <c r="E86" s="77">
        <v>500</v>
      </c>
      <c r="F86" s="73"/>
      <c r="G86" s="78">
        <f t="shared" si="3"/>
        <v>0</v>
      </c>
      <c r="H86" s="83"/>
      <c r="I86" s="60"/>
    </row>
    <row r="87" spans="2:9" ht="15" customHeight="1" x14ac:dyDescent="0.3">
      <c r="B87" s="4"/>
      <c r="C87" s="76" t="s">
        <v>176</v>
      </c>
      <c r="D87" s="77" t="s">
        <v>111</v>
      </c>
      <c r="E87" s="77">
        <v>500</v>
      </c>
      <c r="F87" s="73"/>
      <c r="G87" s="78">
        <f t="shared" si="3"/>
        <v>0</v>
      </c>
      <c r="H87" s="83"/>
      <c r="I87" s="60"/>
    </row>
    <row r="88" spans="2:9" ht="15" customHeight="1" x14ac:dyDescent="0.3">
      <c r="B88" s="4"/>
      <c r="C88" s="76" t="s">
        <v>177</v>
      </c>
      <c r="D88" s="77" t="s">
        <v>111</v>
      </c>
      <c r="E88" s="77">
        <v>500</v>
      </c>
      <c r="F88" s="73"/>
      <c r="G88" s="78">
        <f t="shared" si="3"/>
        <v>0</v>
      </c>
      <c r="H88" s="83"/>
      <c r="I88" s="60"/>
    </row>
    <row r="89" spans="2:9" ht="15" customHeight="1" x14ac:dyDescent="0.3">
      <c r="B89" s="4"/>
      <c r="C89" s="76" t="s">
        <v>178</v>
      </c>
      <c r="D89" s="77" t="s">
        <v>111</v>
      </c>
      <c r="E89" s="77">
        <v>500</v>
      </c>
      <c r="F89" s="73"/>
      <c r="G89" s="78">
        <f t="shared" si="3"/>
        <v>0</v>
      </c>
      <c r="H89" s="83"/>
      <c r="I89" s="60"/>
    </row>
    <row r="90" spans="2:9" ht="15" customHeight="1" x14ac:dyDescent="0.3">
      <c r="B90" s="4"/>
      <c r="C90" s="76" t="s">
        <v>179</v>
      </c>
      <c r="D90" s="77" t="s">
        <v>111</v>
      </c>
      <c r="E90" s="77">
        <v>500</v>
      </c>
      <c r="F90" s="73"/>
      <c r="G90" s="78">
        <f t="shared" si="3"/>
        <v>0</v>
      </c>
      <c r="H90" s="83"/>
      <c r="I90" s="60"/>
    </row>
    <row r="91" spans="2:9" ht="15" customHeight="1" x14ac:dyDescent="0.3">
      <c r="B91" s="4"/>
      <c r="C91" s="76" t="s">
        <v>180</v>
      </c>
      <c r="D91" s="77" t="s">
        <v>111</v>
      </c>
      <c r="E91" s="77">
        <v>500</v>
      </c>
      <c r="F91" s="73"/>
      <c r="G91" s="78">
        <f t="shared" si="3"/>
        <v>0</v>
      </c>
      <c r="H91" s="83"/>
      <c r="I91" s="60"/>
    </row>
    <row r="92" spans="2:9" ht="15" customHeight="1" x14ac:dyDescent="0.3">
      <c r="B92" s="4"/>
      <c r="C92" s="76" t="s">
        <v>181</v>
      </c>
      <c r="D92" s="77" t="s">
        <v>111</v>
      </c>
      <c r="E92" s="77">
        <v>500</v>
      </c>
      <c r="F92" s="73"/>
      <c r="G92" s="78">
        <f t="shared" si="3"/>
        <v>0</v>
      </c>
      <c r="H92" s="83"/>
      <c r="I92" s="60"/>
    </row>
    <row r="93" spans="2:9" ht="15" customHeight="1" x14ac:dyDescent="0.3">
      <c r="B93" s="4"/>
      <c r="C93" s="76" t="s">
        <v>182</v>
      </c>
      <c r="D93" s="77" t="s">
        <v>111</v>
      </c>
      <c r="E93" s="77">
        <v>500</v>
      </c>
      <c r="F93" s="73"/>
      <c r="G93" s="78">
        <f>IF(F93/E93&lt;1,0,(F93/E93))</f>
        <v>0</v>
      </c>
      <c r="H93" s="83"/>
      <c r="I93" s="60"/>
    </row>
    <row r="94" spans="2:9" ht="15" customHeight="1" x14ac:dyDescent="0.3">
      <c r="B94" s="4"/>
      <c r="C94" s="76" t="s">
        <v>183</v>
      </c>
      <c r="D94" s="77" t="s">
        <v>111</v>
      </c>
      <c r="E94" s="77">
        <v>500</v>
      </c>
      <c r="F94" s="73"/>
      <c r="G94" s="78">
        <f>IF(F94/E94&lt;1,0,(F94/E94))</f>
        <v>0</v>
      </c>
      <c r="H94" s="83"/>
      <c r="I94" s="60"/>
    </row>
    <row r="95" spans="2:9" ht="15" customHeight="1" x14ac:dyDescent="0.3">
      <c r="B95" s="4"/>
      <c r="C95" s="76" t="s">
        <v>184</v>
      </c>
      <c r="D95" s="77" t="s">
        <v>111</v>
      </c>
      <c r="E95" s="77">
        <v>500</v>
      </c>
      <c r="F95" s="73"/>
      <c r="G95" s="78">
        <f>IF(F95/E95&lt;1,0,(F95/E95))</f>
        <v>0</v>
      </c>
      <c r="H95" s="83"/>
      <c r="I95" s="60"/>
    </row>
    <row r="96" spans="2:9" ht="15" customHeight="1" x14ac:dyDescent="0.3">
      <c r="B96" s="4"/>
      <c r="C96" s="76"/>
      <c r="D96" s="77"/>
      <c r="E96" s="77"/>
      <c r="F96" s="77"/>
      <c r="G96" s="78"/>
      <c r="H96" s="84"/>
      <c r="I96" s="60"/>
    </row>
    <row r="97" spans="2:9" ht="15" customHeight="1" x14ac:dyDescent="0.3">
      <c r="B97" s="4"/>
      <c r="C97" s="76"/>
      <c r="D97" s="77"/>
      <c r="E97" s="77"/>
      <c r="F97" s="77"/>
      <c r="G97" s="78"/>
      <c r="H97" s="84"/>
      <c r="I97" s="60"/>
    </row>
    <row r="98" spans="2:9" ht="15" customHeight="1" x14ac:dyDescent="0.3">
      <c r="B98" s="4"/>
      <c r="C98" s="85" t="s">
        <v>185</v>
      </c>
      <c r="D98" s="77"/>
      <c r="E98" s="77"/>
      <c r="F98" s="77"/>
      <c r="G98" s="78"/>
      <c r="H98" s="84"/>
      <c r="I98" s="60"/>
    </row>
    <row r="99" spans="2:9" ht="15" customHeight="1" x14ac:dyDescent="0.3">
      <c r="B99" s="4"/>
      <c r="C99" s="87"/>
      <c r="D99" s="77" t="s">
        <v>111</v>
      </c>
      <c r="E99" s="77">
        <v>1000</v>
      </c>
      <c r="F99" s="73"/>
      <c r="G99" s="78">
        <f t="shared" ref="G99:G114" si="4">IF(F99/E99&lt;1,0,(F99/E99))</f>
        <v>0</v>
      </c>
      <c r="H99" s="83"/>
      <c r="I99" s="60"/>
    </row>
    <row r="100" spans="2:9" ht="15" customHeight="1" x14ac:dyDescent="0.3">
      <c r="B100" s="4"/>
      <c r="C100" s="87"/>
      <c r="D100" s="77" t="s">
        <v>111</v>
      </c>
      <c r="E100" s="77">
        <v>1000</v>
      </c>
      <c r="F100" s="73"/>
      <c r="G100" s="78">
        <f t="shared" si="4"/>
        <v>0</v>
      </c>
      <c r="H100" s="83"/>
      <c r="I100" s="60"/>
    </row>
    <row r="101" spans="2:9" ht="15" customHeight="1" x14ac:dyDescent="0.3">
      <c r="B101" s="4"/>
      <c r="C101" s="88"/>
      <c r="D101" s="77" t="s">
        <v>111</v>
      </c>
      <c r="E101" s="77">
        <v>1000</v>
      </c>
      <c r="F101" s="73"/>
      <c r="G101" s="78">
        <f t="shared" si="4"/>
        <v>0</v>
      </c>
      <c r="H101" s="83"/>
      <c r="I101" s="60"/>
    </row>
    <row r="102" spans="2:9" ht="15" customHeight="1" x14ac:dyDescent="0.3">
      <c r="B102" s="4"/>
      <c r="C102" s="88"/>
      <c r="D102" s="77" t="s">
        <v>111</v>
      </c>
      <c r="E102" s="77">
        <v>1000</v>
      </c>
      <c r="F102" s="73"/>
      <c r="G102" s="78">
        <f t="shared" si="4"/>
        <v>0</v>
      </c>
      <c r="H102" s="83"/>
      <c r="I102" s="60"/>
    </row>
    <row r="103" spans="2:9" ht="15" customHeight="1" x14ac:dyDescent="0.3">
      <c r="B103" s="4"/>
      <c r="C103" s="88"/>
      <c r="D103" s="77" t="s">
        <v>111</v>
      </c>
      <c r="E103" s="77">
        <v>1000</v>
      </c>
      <c r="F103" s="73"/>
      <c r="G103" s="78">
        <f t="shared" si="4"/>
        <v>0</v>
      </c>
      <c r="H103" s="83"/>
      <c r="I103" s="60"/>
    </row>
    <row r="104" spans="2:9" ht="15" customHeight="1" x14ac:dyDescent="0.3">
      <c r="B104" s="4"/>
      <c r="C104" s="85" t="s">
        <v>186</v>
      </c>
      <c r="D104" s="77"/>
      <c r="E104" s="77"/>
      <c r="F104" s="77"/>
      <c r="G104" s="78"/>
      <c r="H104" s="84"/>
      <c r="I104" s="60"/>
    </row>
    <row r="105" spans="2:9" ht="15" customHeight="1" x14ac:dyDescent="0.3">
      <c r="B105" s="4"/>
      <c r="C105" s="76" t="s">
        <v>187</v>
      </c>
      <c r="D105" s="77" t="s">
        <v>111</v>
      </c>
      <c r="E105" s="77">
        <v>10</v>
      </c>
      <c r="F105" s="73"/>
      <c r="G105" s="78">
        <f t="shared" si="4"/>
        <v>0</v>
      </c>
      <c r="H105" s="83"/>
      <c r="I105" s="60"/>
    </row>
    <row r="106" spans="2:9" ht="15" customHeight="1" x14ac:dyDescent="0.3">
      <c r="B106" s="4"/>
      <c r="C106" s="76" t="s">
        <v>188</v>
      </c>
      <c r="D106" s="77" t="s">
        <v>111</v>
      </c>
      <c r="E106" s="77">
        <v>10</v>
      </c>
      <c r="F106" s="73"/>
      <c r="G106" s="78">
        <f t="shared" si="4"/>
        <v>0</v>
      </c>
      <c r="H106" s="83"/>
      <c r="I106" s="60"/>
    </row>
    <row r="107" spans="2:9" ht="15" customHeight="1" x14ac:dyDescent="0.3">
      <c r="B107" s="4"/>
      <c r="C107" s="76" t="s">
        <v>189</v>
      </c>
      <c r="D107" s="77" t="s">
        <v>111</v>
      </c>
      <c r="E107" s="77">
        <v>10</v>
      </c>
      <c r="F107" s="73"/>
      <c r="G107" s="78">
        <f t="shared" si="4"/>
        <v>0</v>
      </c>
      <c r="H107" s="83"/>
      <c r="I107" s="60"/>
    </row>
    <row r="108" spans="2:9" ht="15" customHeight="1" x14ac:dyDescent="0.3">
      <c r="B108" s="4"/>
      <c r="C108" s="76" t="s">
        <v>190</v>
      </c>
      <c r="D108" s="77" t="s">
        <v>111</v>
      </c>
      <c r="E108" s="77">
        <v>10</v>
      </c>
      <c r="F108" s="73"/>
      <c r="G108" s="78">
        <f t="shared" si="4"/>
        <v>0</v>
      </c>
      <c r="H108" s="83"/>
      <c r="I108" s="60"/>
    </row>
    <row r="109" spans="2:9" ht="15" customHeight="1" x14ac:dyDescent="0.3">
      <c r="B109" s="4"/>
      <c r="C109" s="76" t="s">
        <v>191</v>
      </c>
      <c r="D109" s="77" t="s">
        <v>111</v>
      </c>
      <c r="E109" s="77">
        <v>10</v>
      </c>
      <c r="F109" s="73"/>
      <c r="G109" s="78">
        <f t="shared" si="4"/>
        <v>0</v>
      </c>
      <c r="H109" s="83"/>
      <c r="I109" s="60"/>
    </row>
    <row r="110" spans="2:9" ht="15" customHeight="1" x14ac:dyDescent="0.3">
      <c r="B110" s="4"/>
      <c r="C110" s="76" t="s">
        <v>192</v>
      </c>
      <c r="D110" s="77" t="s">
        <v>111</v>
      </c>
      <c r="E110" s="77">
        <v>10</v>
      </c>
      <c r="F110" s="73"/>
      <c r="G110" s="78">
        <f t="shared" si="4"/>
        <v>0</v>
      </c>
      <c r="H110" s="83"/>
      <c r="I110" s="60"/>
    </row>
    <row r="111" spans="2:9" ht="15" customHeight="1" x14ac:dyDescent="0.3">
      <c r="B111" s="4"/>
      <c r="C111" s="76" t="s">
        <v>193</v>
      </c>
      <c r="D111" s="77" t="s">
        <v>111</v>
      </c>
      <c r="E111" s="77">
        <v>10</v>
      </c>
      <c r="F111" s="73"/>
      <c r="G111" s="78">
        <f t="shared" si="4"/>
        <v>0</v>
      </c>
      <c r="H111" s="83"/>
      <c r="I111" s="60"/>
    </row>
    <row r="112" spans="2:9" ht="15" customHeight="1" x14ac:dyDescent="0.3">
      <c r="B112" s="4"/>
      <c r="C112" s="76" t="s">
        <v>194</v>
      </c>
      <c r="D112" s="77" t="s">
        <v>111</v>
      </c>
      <c r="E112" s="77">
        <v>1000</v>
      </c>
      <c r="F112" s="73"/>
      <c r="G112" s="78">
        <f t="shared" si="4"/>
        <v>0</v>
      </c>
      <c r="H112" s="83"/>
      <c r="I112" s="60"/>
    </row>
    <row r="113" spans="2:9" ht="15" customHeight="1" x14ac:dyDescent="0.3">
      <c r="B113" s="4"/>
      <c r="C113" s="76" t="s">
        <v>195</v>
      </c>
      <c r="D113" s="77" t="s">
        <v>111</v>
      </c>
      <c r="E113" s="77">
        <v>10</v>
      </c>
      <c r="F113" s="73"/>
      <c r="G113" s="78">
        <f t="shared" si="4"/>
        <v>0</v>
      </c>
      <c r="H113" s="83"/>
      <c r="I113" s="60"/>
    </row>
    <row r="114" spans="2:9" ht="15" customHeight="1" x14ac:dyDescent="0.3">
      <c r="B114" s="4"/>
      <c r="C114" s="76" t="s">
        <v>196</v>
      </c>
      <c r="D114" s="77" t="s">
        <v>111</v>
      </c>
      <c r="E114" s="77">
        <v>100</v>
      </c>
      <c r="F114" s="73"/>
      <c r="G114" s="78">
        <f t="shared" si="4"/>
        <v>0</v>
      </c>
      <c r="H114" s="83"/>
      <c r="I114" s="60"/>
    </row>
    <row r="115" spans="2:9" ht="15" customHeight="1" x14ac:dyDescent="0.3">
      <c r="B115" s="4"/>
      <c r="C115" s="76" t="s">
        <v>197</v>
      </c>
      <c r="D115" s="77" t="s">
        <v>111</v>
      </c>
      <c r="E115" s="77">
        <v>100</v>
      </c>
      <c r="F115" s="73"/>
      <c r="G115" s="78">
        <f>IF(F115/E115&lt;1,0,(F115/E115))</f>
        <v>0</v>
      </c>
      <c r="H115" s="83"/>
      <c r="I115" s="60"/>
    </row>
    <row r="116" spans="2:9" ht="15" customHeight="1" x14ac:dyDescent="0.3">
      <c r="B116" s="4"/>
      <c r="C116" s="76" t="s">
        <v>198</v>
      </c>
      <c r="D116" s="77" t="s">
        <v>111</v>
      </c>
      <c r="E116" s="77">
        <v>100</v>
      </c>
      <c r="F116" s="73"/>
      <c r="G116" s="78">
        <f>IF(F116/E116&lt;1,0,(F116/E116))</f>
        <v>0</v>
      </c>
      <c r="H116" s="83"/>
      <c r="I116" s="60"/>
    </row>
    <row r="117" spans="2:9" ht="15" customHeight="1" x14ac:dyDescent="0.3">
      <c r="B117" s="4"/>
      <c r="C117" s="76"/>
      <c r="D117" s="77"/>
      <c r="E117" s="77"/>
      <c r="F117" s="77"/>
      <c r="G117" s="78"/>
      <c r="H117" s="84"/>
      <c r="I117" s="60"/>
    </row>
    <row r="118" spans="2:9" ht="15" customHeight="1" x14ac:dyDescent="0.3">
      <c r="B118" s="4"/>
      <c r="C118" s="85" t="s">
        <v>199</v>
      </c>
      <c r="D118" s="77"/>
      <c r="E118" s="77"/>
      <c r="F118" s="77"/>
      <c r="G118" s="78"/>
      <c r="H118" s="84"/>
      <c r="I118" s="60"/>
    </row>
    <row r="119" spans="2:9" ht="15" customHeight="1" x14ac:dyDescent="0.3">
      <c r="B119" s="4"/>
      <c r="C119" s="88" t="s">
        <v>200</v>
      </c>
      <c r="D119" s="77" t="s">
        <v>111</v>
      </c>
      <c r="E119" s="77">
        <v>0.1</v>
      </c>
      <c r="F119" s="86"/>
      <c r="G119" s="78">
        <f>IF(E119&gt;0,IF(F119/E119&lt;1,0,(F119/E119)),)</f>
        <v>0</v>
      </c>
      <c r="H119" s="83"/>
      <c r="I119" s="60"/>
    </row>
    <row r="120" spans="2:9" ht="15" customHeight="1" x14ac:dyDescent="0.3">
      <c r="B120" s="4"/>
      <c r="C120" s="88" t="s">
        <v>201</v>
      </c>
      <c r="D120" s="77" t="s">
        <v>111</v>
      </c>
      <c r="E120" s="77">
        <v>1</v>
      </c>
      <c r="F120" s="86"/>
      <c r="G120" s="78">
        <f>IF(E120&gt;0,IF(F120/E120&lt;1,0,(F120/E120)),)</f>
        <v>0</v>
      </c>
      <c r="H120" s="83"/>
      <c r="I120" s="60"/>
    </row>
    <row r="121" spans="2:9" ht="15" customHeight="1" x14ac:dyDescent="0.3">
      <c r="B121" s="4"/>
      <c r="C121" s="88" t="s">
        <v>202</v>
      </c>
      <c r="D121" s="77" t="s">
        <v>111</v>
      </c>
      <c r="E121" s="77">
        <v>10</v>
      </c>
      <c r="F121" s="86"/>
      <c r="G121" s="78">
        <f>IF(E121&gt;0,IF(F121/E121&lt;1,0,(F121/E121)),)</f>
        <v>0</v>
      </c>
      <c r="H121" s="83"/>
      <c r="I121" s="60"/>
    </row>
    <row r="122" spans="2:9" ht="15" customHeight="1" x14ac:dyDescent="0.3">
      <c r="B122" s="4"/>
      <c r="C122" s="88" t="s">
        <v>203</v>
      </c>
      <c r="D122" s="77" t="s">
        <v>111</v>
      </c>
      <c r="E122" s="77">
        <v>100</v>
      </c>
      <c r="F122" s="86"/>
      <c r="G122" s="78">
        <f>IF(E122&gt;0,IF(F122/E122&lt;1,0,(F122/E122)),)</f>
        <v>0</v>
      </c>
      <c r="H122" s="83"/>
      <c r="I122" s="60"/>
    </row>
    <row r="123" spans="2:9" ht="15" customHeight="1" x14ac:dyDescent="0.3">
      <c r="B123" s="4"/>
      <c r="C123" s="88" t="s">
        <v>204</v>
      </c>
      <c r="D123" s="77" t="s">
        <v>111</v>
      </c>
      <c r="E123" s="77">
        <v>1000</v>
      </c>
      <c r="F123" s="86"/>
      <c r="G123" s="78">
        <f>IF(E123&gt;0,IF(F123/E123&lt;1,0,(F123/E123)),)</f>
        <v>0</v>
      </c>
      <c r="H123" s="83"/>
      <c r="I123" s="60"/>
    </row>
    <row r="124" spans="2:9" ht="30.75" customHeight="1" x14ac:dyDescent="0.3">
      <c r="B124" s="4"/>
      <c r="C124" s="824" t="s">
        <v>263</v>
      </c>
      <c r="D124" s="825"/>
      <c r="E124" s="825"/>
      <c r="F124" s="825"/>
      <c r="G124" s="825"/>
      <c r="H124" s="826"/>
      <c r="I124" s="60"/>
    </row>
    <row r="125" spans="2:9" ht="15" customHeight="1" x14ac:dyDescent="0.3">
      <c r="B125" s="4"/>
      <c r="C125" s="89" t="s">
        <v>83</v>
      </c>
      <c r="D125" s="77" t="s">
        <v>83</v>
      </c>
      <c r="E125" s="90" t="s">
        <v>83</v>
      </c>
      <c r="F125" s="86"/>
      <c r="G125" s="78">
        <v>0</v>
      </c>
      <c r="H125" s="91"/>
      <c r="I125" s="60"/>
    </row>
    <row r="126" spans="2:9" ht="15" customHeight="1" x14ac:dyDescent="0.3">
      <c r="B126" s="4"/>
      <c r="C126" s="76" t="s">
        <v>83</v>
      </c>
      <c r="D126" s="77" t="s">
        <v>83</v>
      </c>
      <c r="E126" s="90" t="s">
        <v>83</v>
      </c>
      <c r="F126" s="86"/>
      <c r="G126" s="78">
        <v>0</v>
      </c>
      <c r="H126" s="91"/>
      <c r="I126" s="60"/>
    </row>
    <row r="127" spans="2:9" ht="15" customHeight="1" x14ac:dyDescent="0.3">
      <c r="B127" s="4"/>
      <c r="C127" s="76" t="s">
        <v>83</v>
      </c>
      <c r="D127" s="77" t="s">
        <v>83</v>
      </c>
      <c r="E127" s="90" t="s">
        <v>83</v>
      </c>
      <c r="F127" s="86"/>
      <c r="G127" s="78">
        <v>0</v>
      </c>
      <c r="H127" s="91"/>
      <c r="I127" s="60"/>
    </row>
    <row r="128" spans="2:9" ht="15" customHeight="1" x14ac:dyDescent="0.3">
      <c r="B128" s="4"/>
      <c r="C128" s="76" t="s">
        <v>83</v>
      </c>
      <c r="D128" s="77" t="s">
        <v>83</v>
      </c>
      <c r="E128" s="90" t="s">
        <v>83</v>
      </c>
      <c r="F128" s="86"/>
      <c r="G128" s="78">
        <v>0</v>
      </c>
      <c r="H128" s="91"/>
      <c r="I128" s="60"/>
    </row>
    <row r="129" spans="2:9" ht="15" customHeight="1" x14ac:dyDescent="0.3">
      <c r="B129" s="4"/>
      <c r="C129" s="92"/>
      <c r="D129" s="93"/>
      <c r="E129" s="93"/>
      <c r="F129" s="94" t="s">
        <v>94</v>
      </c>
      <c r="G129" s="95">
        <f>SUM(G8:G128)</f>
        <v>0</v>
      </c>
      <c r="H129" s="96"/>
      <c r="I129" s="60"/>
    </row>
    <row r="130" spans="2:9" x14ac:dyDescent="0.3">
      <c r="B130" s="4"/>
      <c r="C130" s="5"/>
      <c r="D130" s="5"/>
      <c r="E130" s="5"/>
      <c r="F130" s="5"/>
      <c r="G130" s="5"/>
      <c r="H130" s="5"/>
      <c r="I130" s="60"/>
    </row>
    <row r="131" spans="2:9" x14ac:dyDescent="0.3">
      <c r="B131" s="4"/>
      <c r="C131" s="817"/>
      <c r="D131" s="817"/>
      <c r="E131" s="817"/>
      <c r="F131" s="817"/>
      <c r="G131" s="817"/>
      <c r="H131" s="817"/>
      <c r="I131" s="60"/>
    </row>
  </sheetData>
  <sheetProtection algorithmName="SHA-512" hashValue="g9ZQZZq1dRgUZkjT5YABI6UdS0omggu8z515ziw/w+hRIB5QUpIncyIaZ3y9FSJDYC0rESjoel1AufHfoNQDEg==" saltValue="8iqrcXCnW7ETrYsa5ZFR0A==" spinCount="100000" sheet="1" objects="1" scenarios="1"/>
  <mergeCells count="7">
    <mergeCell ref="C131:H131"/>
    <mergeCell ref="C6:E6"/>
    <mergeCell ref="C2:H2"/>
    <mergeCell ref="D4:F4"/>
    <mergeCell ref="H4:H5"/>
    <mergeCell ref="D5:F5"/>
    <mergeCell ref="C124:H124"/>
  </mergeCells>
  <dataValidations count="4">
    <dataValidation type="decimal" allowBlank="1" showInputMessage="1" showErrorMessage="1" errorTitle="Emission Quantity" error="Emission quantity is outside the acceptable range. Only enter emissions if they are above the threshold given in the preceeding column. If your emission is very high, check that you have used the correct units." promptTitle="Emission Quantity" prompt="Only enter emissions if they are above the threshold given in the preceeding column. Emissions below this are not taken into account in your EP OPRA Profile." sqref="F32:F33" xr:uid="{A37DDDCF-96CF-4047-B6E7-31D0C1595243}">
      <formula1>E32</formula1>
      <formula2>E32*80000000</formula2>
    </dataValidation>
    <dataValidation type="custom" showInputMessage="1" showErrorMessage="1" errorTitle="Additional Substances" error="A substance name must be entered before you can enter an emission value in here" promptTitle="Additional Substances" prompt="Please enter a substance name before entering an emission value" sqref="F119:F123" xr:uid="{37A338FF-2F11-4FBD-973F-F6394B9A2A1F}">
      <formula1>ISBLANK(C119) = FALSE</formula1>
    </dataValidation>
    <dataValidation type="custom" showInputMessage="1" showErrorMessage="1" errorTitle="Substance Notes" error="Notes can only be entered against substances that have an emission value and must not exceed 300 characters in length" promptTitle="Substance Notes" prompt="Only enter notes against substances that have an emission value.  Notes are restricted to 300 characters (40-50 words)" sqref="H8:H10 H13:H16 H18:H22 H24:H29 H31:H33 H35:H39 H41:H52 H55:H73 H75:H95 H99:H103 H105:H116 H119:H123" xr:uid="{6C7CC790-4C0B-44E4-A356-2404AB52B9D8}">
      <formula1>ISBLANK(F8) + (LEN(H8) &gt; 300)=0</formula1>
    </dataValidation>
    <dataValidation type="decimal" allowBlank="1" showInputMessage="1" showErrorMessage="1" errorTitle="Emission Quantity" error="Emission quantity is outside the acceptable range. Only enter emissions if they are above the threshold given in the preceeding column. If your emission is very high, check that you have used the correct units." promptTitle="Emission Quantity" prompt="Only enter emissions if they are above the threshold given in the preceeding column. Emissions below this are not taken into account in your EP OPRA Profile." sqref="F31 F41:F52 F8:F10 F25:F29 F99:F103 F35:F39 F18:F22 F55:F73 F75:F95 F13:F16 F105:F116" xr:uid="{DC849798-9CCB-4A14-8EC4-F57D386891E7}">
      <formula1>E8</formula1>
      <formula2>E8*10000000</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6154" r:id="rId3" name="Check Box 10">
              <controlPr defaultSize="0" autoFill="0" autoLine="0" autoPict="0">
                <anchor moveWithCells="1">
                  <from>
                    <xdr:col>5</xdr:col>
                    <xdr:colOff>373380</xdr:colOff>
                    <xdr:row>5</xdr:row>
                    <xdr:rowOff>144780</xdr:rowOff>
                  </from>
                  <to>
                    <xdr:col>6</xdr:col>
                    <xdr:colOff>289560</xdr:colOff>
                    <xdr:row>5</xdr:row>
                    <xdr:rowOff>365760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8DA2A-432D-43AB-8C02-154D6A2F7DD6}">
  <dimension ref="B2:G92"/>
  <sheetViews>
    <sheetView workbookViewId="0">
      <selection activeCell="B7" sqref="B7:D7"/>
    </sheetView>
  </sheetViews>
  <sheetFormatPr defaultRowHeight="14.4" x14ac:dyDescent="0.3"/>
  <cols>
    <col min="2" max="2" width="29" customWidth="1"/>
    <col min="4" max="4" width="11.77734375" customWidth="1"/>
    <col min="5" max="5" width="10.5546875" customWidth="1"/>
    <col min="7" max="7" width="24.77734375" customWidth="1"/>
  </cols>
  <sheetData>
    <row r="2" spans="2:7" ht="15" thickBot="1" x14ac:dyDescent="0.35"/>
    <row r="3" spans="2:7" ht="18" thickBot="1" x14ac:dyDescent="0.35">
      <c r="B3" s="831" t="s">
        <v>205</v>
      </c>
      <c r="C3" s="819"/>
      <c r="D3" s="819"/>
      <c r="E3" s="819"/>
      <c r="F3" s="819"/>
      <c r="G3" s="832"/>
    </row>
    <row r="4" spans="2:7" x14ac:dyDescent="0.3">
      <c r="B4" s="4"/>
      <c r="C4" s="385"/>
      <c r="D4" s="410"/>
      <c r="E4" s="385"/>
      <c r="F4" s="385"/>
      <c r="G4" s="6"/>
    </row>
    <row r="5" spans="2:7" x14ac:dyDescent="0.3">
      <c r="B5" s="530" t="s">
        <v>47</v>
      </c>
      <c r="C5" s="793">
        <f>+Introduction!E10</f>
        <v>0</v>
      </c>
      <c r="D5" s="793"/>
      <c r="E5" s="833" t="s">
        <v>98</v>
      </c>
      <c r="F5" s="834"/>
      <c r="G5" s="835"/>
    </row>
    <row r="6" spans="2:7" x14ac:dyDescent="0.3">
      <c r="B6" s="530" t="s">
        <v>795</v>
      </c>
      <c r="C6" s="793">
        <f>+Introduction!K10</f>
        <v>0</v>
      </c>
      <c r="D6" s="793"/>
      <c r="E6" s="836"/>
      <c r="F6" s="837"/>
      <c r="G6" s="838"/>
    </row>
    <row r="7" spans="2:7" ht="33.75" customHeight="1" thickBot="1" x14ac:dyDescent="0.35">
      <c r="B7" s="829" t="s">
        <v>99</v>
      </c>
      <c r="C7" s="830"/>
      <c r="D7" s="830"/>
      <c r="E7" s="9"/>
      <c r="F7" s="9"/>
      <c r="G7" s="10"/>
    </row>
    <row r="8" spans="2:7" ht="28.8" x14ac:dyDescent="0.3">
      <c r="B8" s="531" t="s">
        <v>100</v>
      </c>
      <c r="C8" s="532" t="s">
        <v>101</v>
      </c>
      <c r="D8" s="533" t="s">
        <v>102</v>
      </c>
      <c r="E8" s="533" t="s">
        <v>103</v>
      </c>
      <c r="F8" s="533" t="s">
        <v>104</v>
      </c>
      <c r="G8" s="534" t="s">
        <v>105</v>
      </c>
    </row>
    <row r="9" spans="2:7" x14ac:dyDescent="0.3">
      <c r="B9" s="535" t="s">
        <v>206</v>
      </c>
      <c r="C9" s="98" t="s">
        <v>111</v>
      </c>
      <c r="D9" s="98">
        <v>1E-3</v>
      </c>
      <c r="E9" s="99"/>
      <c r="F9" s="100">
        <f>IF(E9/D9&lt;1,0,(E9/D9))</f>
        <v>0</v>
      </c>
      <c r="G9" s="536"/>
    </row>
    <row r="10" spans="2:7" x14ac:dyDescent="0.3">
      <c r="B10" s="537" t="s">
        <v>207</v>
      </c>
      <c r="C10" s="103" t="s">
        <v>111</v>
      </c>
      <c r="D10" s="103">
        <v>1E-3</v>
      </c>
      <c r="E10" s="104"/>
      <c r="F10" s="105">
        <f>IF(E10/D10&lt;1,0,(E10/D10))</f>
        <v>0</v>
      </c>
      <c r="G10" s="538"/>
    </row>
    <row r="11" spans="2:7" x14ac:dyDescent="0.3">
      <c r="B11" s="537" t="s">
        <v>208</v>
      </c>
      <c r="C11" s="103" t="s">
        <v>111</v>
      </c>
      <c r="D11" s="103">
        <v>1E-3</v>
      </c>
      <c r="E11" s="104"/>
      <c r="F11" s="105">
        <f t="shared" ref="F11:F74" si="0">IF(E11/D11&lt;1,0,(E11/D11))</f>
        <v>0</v>
      </c>
      <c r="G11" s="538"/>
    </row>
    <row r="12" spans="2:7" x14ac:dyDescent="0.3">
      <c r="B12" s="537" t="s">
        <v>209</v>
      </c>
      <c r="C12" s="103" t="s">
        <v>111</v>
      </c>
      <c r="D12" s="103">
        <v>1E-3</v>
      </c>
      <c r="E12" s="104"/>
      <c r="F12" s="105">
        <f t="shared" si="0"/>
        <v>0</v>
      </c>
      <c r="G12" s="538"/>
    </row>
    <row r="13" spans="2:7" x14ac:dyDescent="0.3">
      <c r="B13" s="537" t="s">
        <v>210</v>
      </c>
      <c r="C13" s="103" t="s">
        <v>111</v>
      </c>
      <c r="D13" s="103">
        <v>1E-3</v>
      </c>
      <c r="E13" s="104"/>
      <c r="F13" s="105">
        <f t="shared" si="0"/>
        <v>0</v>
      </c>
      <c r="G13" s="538"/>
    </row>
    <row r="14" spans="2:7" x14ac:dyDescent="0.3">
      <c r="B14" s="537" t="s">
        <v>211</v>
      </c>
      <c r="C14" s="103" t="s">
        <v>111</v>
      </c>
      <c r="D14" s="103">
        <v>1E-3</v>
      </c>
      <c r="E14" s="104"/>
      <c r="F14" s="105">
        <f t="shared" si="0"/>
        <v>0</v>
      </c>
      <c r="G14" s="538"/>
    </row>
    <row r="15" spans="2:7" x14ac:dyDescent="0.3">
      <c r="B15" s="537" t="s">
        <v>212</v>
      </c>
      <c r="C15" s="103" t="s">
        <v>111</v>
      </c>
      <c r="D15" s="103">
        <v>1E-3</v>
      </c>
      <c r="E15" s="104"/>
      <c r="F15" s="105">
        <f t="shared" si="0"/>
        <v>0</v>
      </c>
      <c r="G15" s="538"/>
    </row>
    <row r="16" spans="2:7" x14ac:dyDescent="0.3">
      <c r="B16" s="537" t="s">
        <v>213</v>
      </c>
      <c r="C16" s="103" t="s">
        <v>111</v>
      </c>
      <c r="D16" s="103">
        <v>1E-3</v>
      </c>
      <c r="E16" s="104"/>
      <c r="F16" s="105">
        <f t="shared" si="0"/>
        <v>0</v>
      </c>
      <c r="G16" s="538"/>
    </row>
    <row r="17" spans="2:7" x14ac:dyDescent="0.3">
      <c r="B17" s="537" t="s">
        <v>214</v>
      </c>
      <c r="C17" s="103" t="s">
        <v>111</v>
      </c>
      <c r="D17" s="103">
        <v>1E-3</v>
      </c>
      <c r="E17" s="104"/>
      <c r="F17" s="105">
        <f t="shared" si="0"/>
        <v>0</v>
      </c>
      <c r="G17" s="538"/>
    </row>
    <row r="18" spans="2:7" x14ac:dyDescent="0.3">
      <c r="B18" s="537" t="s">
        <v>215</v>
      </c>
      <c r="C18" s="103" t="s">
        <v>111</v>
      </c>
      <c r="D18" s="103">
        <v>1E-3</v>
      </c>
      <c r="E18" s="104"/>
      <c r="F18" s="105">
        <f t="shared" si="0"/>
        <v>0</v>
      </c>
      <c r="G18" s="538"/>
    </row>
    <row r="19" spans="2:7" x14ac:dyDescent="0.3">
      <c r="B19" s="537"/>
      <c r="C19" s="103"/>
      <c r="D19" s="103"/>
      <c r="E19" s="103"/>
      <c r="F19" s="105"/>
      <c r="G19" s="539"/>
    </row>
    <row r="20" spans="2:7" x14ac:dyDescent="0.3">
      <c r="B20" s="537" t="s">
        <v>216</v>
      </c>
      <c r="C20" s="103" t="s">
        <v>111</v>
      </c>
      <c r="D20" s="103">
        <v>0.01</v>
      </c>
      <c r="E20" s="104"/>
      <c r="F20" s="105">
        <f t="shared" si="0"/>
        <v>0</v>
      </c>
      <c r="G20" s="538"/>
    </row>
    <row r="21" spans="2:7" x14ac:dyDescent="0.3">
      <c r="B21" s="537" t="s">
        <v>217</v>
      </c>
      <c r="C21" s="103" t="s">
        <v>111</v>
      </c>
      <c r="D21" s="103">
        <v>0.01</v>
      </c>
      <c r="E21" s="104"/>
      <c r="F21" s="105">
        <f t="shared" si="0"/>
        <v>0</v>
      </c>
      <c r="G21" s="538"/>
    </row>
    <row r="22" spans="2:7" x14ac:dyDescent="0.3">
      <c r="B22" s="537" t="s">
        <v>218</v>
      </c>
      <c r="C22" s="103" t="s">
        <v>111</v>
      </c>
      <c r="D22" s="103">
        <v>0.01</v>
      </c>
      <c r="E22" s="104"/>
      <c r="F22" s="105">
        <f t="shared" si="0"/>
        <v>0</v>
      </c>
      <c r="G22" s="538"/>
    </row>
    <row r="23" spans="2:7" x14ac:dyDescent="0.3">
      <c r="B23" s="537" t="s">
        <v>219</v>
      </c>
      <c r="C23" s="103" t="s">
        <v>111</v>
      </c>
      <c r="D23" s="103">
        <v>0.01</v>
      </c>
      <c r="E23" s="104"/>
      <c r="F23" s="105">
        <f t="shared" si="0"/>
        <v>0</v>
      </c>
      <c r="G23" s="538"/>
    </row>
    <row r="24" spans="2:7" x14ac:dyDescent="0.3">
      <c r="B24" s="537" t="s">
        <v>220</v>
      </c>
      <c r="C24" s="103" t="s">
        <v>111</v>
      </c>
      <c r="D24" s="103">
        <v>0.01</v>
      </c>
      <c r="E24" s="104"/>
      <c r="F24" s="105">
        <f t="shared" si="0"/>
        <v>0</v>
      </c>
      <c r="G24" s="538"/>
    </row>
    <row r="25" spans="2:7" x14ac:dyDescent="0.3">
      <c r="B25" s="537" t="s">
        <v>221</v>
      </c>
      <c r="C25" s="103" t="s">
        <v>111</v>
      </c>
      <c r="D25" s="103">
        <v>0.01</v>
      </c>
      <c r="E25" s="104"/>
      <c r="F25" s="105">
        <f t="shared" si="0"/>
        <v>0</v>
      </c>
      <c r="G25" s="538"/>
    </row>
    <row r="26" spans="2:7" x14ac:dyDescent="0.3">
      <c r="B26" s="537" t="s">
        <v>222</v>
      </c>
      <c r="C26" s="103" t="s">
        <v>111</v>
      </c>
      <c r="D26" s="103">
        <v>0.01</v>
      </c>
      <c r="E26" s="104"/>
      <c r="F26" s="105">
        <f t="shared" si="0"/>
        <v>0</v>
      </c>
      <c r="G26" s="538"/>
    </row>
    <row r="27" spans="2:7" x14ac:dyDescent="0.3">
      <c r="B27" s="537" t="s">
        <v>223</v>
      </c>
      <c r="C27" s="103" t="s">
        <v>111</v>
      </c>
      <c r="D27" s="103">
        <v>0.01</v>
      </c>
      <c r="E27" s="104"/>
      <c r="F27" s="105">
        <f t="shared" si="0"/>
        <v>0</v>
      </c>
      <c r="G27" s="538"/>
    </row>
    <row r="28" spans="2:7" x14ac:dyDescent="0.3">
      <c r="B28" s="537" t="s">
        <v>224</v>
      </c>
      <c r="C28" s="103" t="s">
        <v>111</v>
      </c>
      <c r="D28" s="103">
        <v>0.01</v>
      </c>
      <c r="E28" s="104"/>
      <c r="F28" s="105">
        <f t="shared" si="0"/>
        <v>0</v>
      </c>
      <c r="G28" s="538"/>
    </row>
    <row r="29" spans="2:7" x14ac:dyDescent="0.3">
      <c r="B29" s="537" t="s">
        <v>225</v>
      </c>
      <c r="C29" s="103" t="s">
        <v>111</v>
      </c>
      <c r="D29" s="103">
        <v>0.01</v>
      </c>
      <c r="E29" s="104"/>
      <c r="F29" s="105">
        <f t="shared" si="0"/>
        <v>0</v>
      </c>
      <c r="G29" s="538"/>
    </row>
    <row r="30" spans="2:7" x14ac:dyDescent="0.3">
      <c r="B30" s="537" t="s">
        <v>226</v>
      </c>
      <c r="C30" s="103" t="s">
        <v>111</v>
      </c>
      <c r="D30" s="103">
        <v>0.01</v>
      </c>
      <c r="E30" s="104"/>
      <c r="F30" s="105">
        <f t="shared" si="0"/>
        <v>0</v>
      </c>
      <c r="G30" s="538"/>
    </row>
    <row r="31" spans="2:7" x14ac:dyDescent="0.3">
      <c r="B31" s="537" t="s">
        <v>227</v>
      </c>
      <c r="C31" s="103" t="s">
        <v>111</v>
      </c>
      <c r="D31" s="103">
        <v>0.01</v>
      </c>
      <c r="E31" s="104"/>
      <c r="F31" s="105">
        <f t="shared" si="0"/>
        <v>0</v>
      </c>
      <c r="G31" s="538"/>
    </row>
    <row r="32" spans="2:7" x14ac:dyDescent="0.3">
      <c r="B32" s="537" t="s">
        <v>228</v>
      </c>
      <c r="C32" s="103" t="s">
        <v>111</v>
      </c>
      <c r="D32" s="103">
        <v>0.01</v>
      </c>
      <c r="E32" s="104"/>
      <c r="F32" s="105">
        <f t="shared" si="0"/>
        <v>0</v>
      </c>
      <c r="G32" s="538"/>
    </row>
    <row r="33" spans="2:7" x14ac:dyDescent="0.3">
      <c r="B33" s="537" t="s">
        <v>229</v>
      </c>
      <c r="C33" s="103" t="s">
        <v>111</v>
      </c>
      <c r="D33" s="103">
        <v>0.01</v>
      </c>
      <c r="E33" s="104"/>
      <c r="F33" s="105">
        <f t="shared" si="0"/>
        <v>0</v>
      </c>
      <c r="G33" s="538"/>
    </row>
    <row r="34" spans="2:7" x14ac:dyDescent="0.3">
      <c r="B34" s="537" t="s">
        <v>230</v>
      </c>
      <c r="C34" s="103" t="s">
        <v>111</v>
      </c>
      <c r="D34" s="103">
        <v>0.01</v>
      </c>
      <c r="E34" s="104"/>
      <c r="F34" s="105">
        <f t="shared" si="0"/>
        <v>0</v>
      </c>
      <c r="G34" s="538"/>
    </row>
    <row r="35" spans="2:7" x14ac:dyDescent="0.3">
      <c r="B35" s="537" t="s">
        <v>231</v>
      </c>
      <c r="C35" s="103" t="s">
        <v>111</v>
      </c>
      <c r="D35" s="103">
        <v>0.01</v>
      </c>
      <c r="E35" s="104"/>
      <c r="F35" s="105">
        <f t="shared" si="0"/>
        <v>0</v>
      </c>
      <c r="G35" s="538"/>
    </row>
    <row r="36" spans="2:7" x14ac:dyDescent="0.3">
      <c r="B36" s="537"/>
      <c r="C36" s="103"/>
      <c r="D36" s="103"/>
      <c r="E36" s="103"/>
      <c r="F36" s="105"/>
      <c r="G36" s="539"/>
    </row>
    <row r="37" spans="2:7" x14ac:dyDescent="0.3">
      <c r="B37" s="537" t="s">
        <v>232</v>
      </c>
      <c r="C37" s="103" t="s">
        <v>111</v>
      </c>
      <c r="D37" s="103">
        <v>0.1</v>
      </c>
      <c r="E37" s="104"/>
      <c r="F37" s="105">
        <f t="shared" si="0"/>
        <v>0</v>
      </c>
      <c r="G37" s="538"/>
    </row>
    <row r="38" spans="2:7" ht="28.8" x14ac:dyDescent="0.3">
      <c r="B38" s="540" t="s">
        <v>233</v>
      </c>
      <c r="C38" s="103" t="s">
        <v>111</v>
      </c>
      <c r="D38" s="103">
        <v>0.1</v>
      </c>
      <c r="E38" s="104"/>
      <c r="F38" s="105">
        <f t="shared" si="0"/>
        <v>0</v>
      </c>
      <c r="G38" s="538"/>
    </row>
    <row r="39" spans="2:7" x14ac:dyDescent="0.3">
      <c r="B39" s="540" t="s">
        <v>234</v>
      </c>
      <c r="C39" s="103" t="s">
        <v>111</v>
      </c>
      <c r="D39" s="103">
        <v>0.1</v>
      </c>
      <c r="E39" s="104"/>
      <c r="F39" s="105">
        <f t="shared" si="0"/>
        <v>0</v>
      </c>
      <c r="G39" s="538"/>
    </row>
    <row r="40" spans="2:7" x14ac:dyDescent="0.3">
      <c r="B40" s="540" t="s">
        <v>235</v>
      </c>
      <c r="C40" s="103" t="s">
        <v>111</v>
      </c>
      <c r="D40" s="103">
        <v>0.1</v>
      </c>
      <c r="E40" s="104"/>
      <c r="F40" s="105">
        <f t="shared" si="0"/>
        <v>0</v>
      </c>
      <c r="G40" s="538"/>
    </row>
    <row r="41" spans="2:7" x14ac:dyDescent="0.3">
      <c r="B41" s="537"/>
      <c r="C41" s="103" t="s">
        <v>111</v>
      </c>
      <c r="D41" s="103"/>
      <c r="E41" s="103"/>
      <c r="F41" s="105"/>
      <c r="G41" s="539"/>
    </row>
    <row r="42" spans="2:7" x14ac:dyDescent="0.3">
      <c r="B42" s="537" t="s">
        <v>135</v>
      </c>
      <c r="C42" s="103" t="s">
        <v>111</v>
      </c>
      <c r="D42" s="103">
        <v>1</v>
      </c>
      <c r="E42" s="104"/>
      <c r="F42" s="105">
        <f t="shared" si="0"/>
        <v>0</v>
      </c>
      <c r="G42" s="538"/>
    </row>
    <row r="43" spans="2:7" x14ac:dyDescent="0.3">
      <c r="B43" s="537" t="s">
        <v>236</v>
      </c>
      <c r="C43" s="103" t="s">
        <v>111</v>
      </c>
      <c r="D43" s="103">
        <v>1</v>
      </c>
      <c r="E43" s="104"/>
      <c r="F43" s="105">
        <f t="shared" si="0"/>
        <v>0</v>
      </c>
      <c r="G43" s="538"/>
    </row>
    <row r="44" spans="2:7" x14ac:dyDescent="0.3">
      <c r="B44" s="537" t="s">
        <v>237</v>
      </c>
      <c r="C44" s="103" t="s">
        <v>111</v>
      </c>
      <c r="D44" s="103">
        <v>1</v>
      </c>
      <c r="E44" s="104"/>
      <c r="F44" s="105">
        <f t="shared" si="0"/>
        <v>0</v>
      </c>
      <c r="G44" s="538"/>
    </row>
    <row r="45" spans="2:7" x14ac:dyDescent="0.3">
      <c r="B45" s="537" t="s">
        <v>238</v>
      </c>
      <c r="C45" s="103" t="s">
        <v>111</v>
      </c>
      <c r="D45" s="103">
        <v>1</v>
      </c>
      <c r="E45" s="104"/>
      <c r="F45" s="105">
        <f t="shared" si="0"/>
        <v>0</v>
      </c>
      <c r="G45" s="538"/>
    </row>
    <row r="46" spans="2:7" x14ac:dyDescent="0.3">
      <c r="B46" s="537" t="s">
        <v>138</v>
      </c>
      <c r="C46" s="103" t="s">
        <v>111</v>
      </c>
      <c r="D46" s="103">
        <v>1</v>
      </c>
      <c r="E46" s="104"/>
      <c r="F46" s="105">
        <f t="shared" si="0"/>
        <v>0</v>
      </c>
      <c r="G46" s="538"/>
    </row>
    <row r="47" spans="2:7" x14ac:dyDescent="0.3">
      <c r="B47" s="537" t="s">
        <v>239</v>
      </c>
      <c r="C47" s="103" t="s">
        <v>111</v>
      </c>
      <c r="D47" s="103">
        <v>1</v>
      </c>
      <c r="E47" s="104"/>
      <c r="F47" s="105">
        <f t="shared" si="0"/>
        <v>0</v>
      </c>
      <c r="G47" s="538"/>
    </row>
    <row r="48" spans="2:7" x14ac:dyDescent="0.3">
      <c r="B48" s="537" t="s">
        <v>240</v>
      </c>
      <c r="C48" s="103" t="s">
        <v>111</v>
      </c>
      <c r="D48" s="103">
        <v>1</v>
      </c>
      <c r="E48" s="104"/>
      <c r="F48" s="105">
        <f t="shared" si="0"/>
        <v>0</v>
      </c>
      <c r="G48" s="538"/>
    </row>
    <row r="49" spans="2:7" x14ac:dyDescent="0.3">
      <c r="B49" s="537" t="s">
        <v>241</v>
      </c>
      <c r="C49" s="103" t="s">
        <v>111</v>
      </c>
      <c r="D49" s="103">
        <v>1</v>
      </c>
      <c r="E49" s="104"/>
      <c r="F49" s="105">
        <f t="shared" si="0"/>
        <v>0</v>
      </c>
      <c r="G49" s="538"/>
    </row>
    <row r="50" spans="2:7" x14ac:dyDescent="0.3">
      <c r="B50" s="537" t="s">
        <v>242</v>
      </c>
      <c r="C50" s="103" t="s">
        <v>111</v>
      </c>
      <c r="D50" s="103">
        <v>1</v>
      </c>
      <c r="E50" s="104"/>
      <c r="F50" s="105">
        <f t="shared" si="0"/>
        <v>0</v>
      </c>
      <c r="G50" s="538"/>
    </row>
    <row r="51" spans="2:7" x14ac:dyDescent="0.3">
      <c r="B51" s="537" t="s">
        <v>243</v>
      </c>
      <c r="C51" s="103" t="s">
        <v>111</v>
      </c>
      <c r="D51" s="103">
        <v>1</v>
      </c>
      <c r="E51" s="104"/>
      <c r="F51" s="105">
        <f t="shared" si="0"/>
        <v>0</v>
      </c>
      <c r="G51" s="538"/>
    </row>
    <row r="52" spans="2:7" x14ac:dyDescent="0.3">
      <c r="B52" s="537" t="s">
        <v>244</v>
      </c>
      <c r="C52" s="103" t="s">
        <v>111</v>
      </c>
      <c r="D52" s="103">
        <v>1</v>
      </c>
      <c r="E52" s="104"/>
      <c r="F52" s="105">
        <f t="shared" si="0"/>
        <v>0</v>
      </c>
      <c r="G52" s="538"/>
    </row>
    <row r="53" spans="2:7" x14ac:dyDescent="0.3">
      <c r="B53" s="537" t="s">
        <v>245</v>
      </c>
      <c r="C53" s="103" t="s">
        <v>111</v>
      </c>
      <c r="D53" s="103">
        <v>1</v>
      </c>
      <c r="E53" s="104"/>
      <c r="F53" s="105">
        <f t="shared" si="0"/>
        <v>0</v>
      </c>
      <c r="G53" s="538"/>
    </row>
    <row r="54" spans="2:7" x14ac:dyDescent="0.3">
      <c r="B54" s="537" t="s">
        <v>246</v>
      </c>
      <c r="C54" s="103" t="s">
        <v>111</v>
      </c>
      <c r="D54" s="103">
        <v>1</v>
      </c>
      <c r="E54" s="104"/>
      <c r="F54" s="105">
        <f t="shared" si="0"/>
        <v>0</v>
      </c>
      <c r="G54" s="538"/>
    </row>
    <row r="55" spans="2:7" x14ac:dyDescent="0.3">
      <c r="B55" s="537" t="s">
        <v>247</v>
      </c>
      <c r="C55" s="103" t="s">
        <v>111</v>
      </c>
      <c r="D55" s="103">
        <v>1</v>
      </c>
      <c r="E55" s="104"/>
      <c r="F55" s="105">
        <f t="shared" si="0"/>
        <v>0</v>
      </c>
      <c r="G55" s="538"/>
    </row>
    <row r="56" spans="2:7" x14ac:dyDescent="0.3">
      <c r="B56" s="537" t="s">
        <v>248</v>
      </c>
      <c r="C56" s="103" t="s">
        <v>111</v>
      </c>
      <c r="D56" s="103">
        <v>1</v>
      </c>
      <c r="E56" s="104"/>
      <c r="F56" s="105">
        <f t="shared" si="0"/>
        <v>0</v>
      </c>
      <c r="G56" s="538"/>
    </row>
    <row r="57" spans="2:7" x14ac:dyDescent="0.3">
      <c r="B57" s="537" t="s">
        <v>249</v>
      </c>
      <c r="C57" s="103" t="s">
        <v>111</v>
      </c>
      <c r="D57" s="103">
        <v>1</v>
      </c>
      <c r="E57" s="104"/>
      <c r="F57" s="105">
        <f t="shared" si="0"/>
        <v>0</v>
      </c>
      <c r="G57" s="538"/>
    </row>
    <row r="58" spans="2:7" x14ac:dyDescent="0.3">
      <c r="B58" s="537" t="s">
        <v>250</v>
      </c>
      <c r="C58" s="103" t="s">
        <v>111</v>
      </c>
      <c r="D58" s="103">
        <v>1</v>
      </c>
      <c r="E58" s="104"/>
      <c r="F58" s="105">
        <f t="shared" si="0"/>
        <v>0</v>
      </c>
      <c r="G58" s="538"/>
    </row>
    <row r="59" spans="2:7" x14ac:dyDescent="0.3">
      <c r="B59" s="537" t="s">
        <v>251</v>
      </c>
      <c r="C59" s="103" t="s">
        <v>111</v>
      </c>
      <c r="D59" s="103">
        <v>1</v>
      </c>
      <c r="E59" s="104"/>
      <c r="F59" s="105">
        <f t="shared" si="0"/>
        <v>0</v>
      </c>
      <c r="G59" s="538"/>
    </row>
    <row r="60" spans="2:7" x14ac:dyDescent="0.3">
      <c r="B60" s="537" t="s">
        <v>252</v>
      </c>
      <c r="C60" s="103" t="s">
        <v>111</v>
      </c>
      <c r="D60" s="103">
        <v>1</v>
      </c>
      <c r="E60" s="104"/>
      <c r="F60" s="105">
        <f t="shared" si="0"/>
        <v>0</v>
      </c>
      <c r="G60" s="538"/>
    </row>
    <row r="61" spans="2:7" x14ac:dyDescent="0.3">
      <c r="B61" s="537" t="s">
        <v>112</v>
      </c>
      <c r="C61" s="103" t="s">
        <v>111</v>
      </c>
      <c r="D61" s="103">
        <v>1</v>
      </c>
      <c r="E61" s="104"/>
      <c r="F61" s="105">
        <f t="shared" si="0"/>
        <v>0</v>
      </c>
      <c r="G61" s="541"/>
    </row>
    <row r="62" spans="2:7" x14ac:dyDescent="0.3">
      <c r="B62" s="537" t="s">
        <v>114</v>
      </c>
      <c r="C62" s="103" t="s">
        <v>111</v>
      </c>
      <c r="D62" s="103">
        <v>1</v>
      </c>
      <c r="E62" s="104"/>
      <c r="F62" s="105">
        <f t="shared" si="0"/>
        <v>0</v>
      </c>
      <c r="G62" s="541"/>
    </row>
    <row r="63" spans="2:7" x14ac:dyDescent="0.3">
      <c r="B63" s="537"/>
      <c r="C63" s="103"/>
      <c r="D63" s="103"/>
      <c r="E63" s="103"/>
      <c r="F63" s="105"/>
      <c r="G63" s="539"/>
    </row>
    <row r="64" spans="2:7" x14ac:dyDescent="0.3">
      <c r="B64" s="537" t="s">
        <v>253</v>
      </c>
      <c r="C64" s="103" t="s">
        <v>111</v>
      </c>
      <c r="D64" s="103">
        <v>20</v>
      </c>
      <c r="E64" s="104"/>
      <c r="F64" s="105">
        <f t="shared" si="0"/>
        <v>0</v>
      </c>
      <c r="G64" s="538"/>
    </row>
    <row r="65" spans="2:7" x14ac:dyDescent="0.3">
      <c r="B65" s="537" t="s">
        <v>254</v>
      </c>
      <c r="C65" s="103" t="s">
        <v>111</v>
      </c>
      <c r="D65" s="103">
        <v>20</v>
      </c>
      <c r="E65" s="104"/>
      <c r="F65" s="105">
        <f t="shared" si="0"/>
        <v>0</v>
      </c>
      <c r="G65" s="538"/>
    </row>
    <row r="66" spans="2:7" x14ac:dyDescent="0.3">
      <c r="B66" s="537" t="s">
        <v>255</v>
      </c>
      <c r="C66" s="103" t="s">
        <v>111</v>
      </c>
      <c r="D66" s="103">
        <v>20</v>
      </c>
      <c r="E66" s="104"/>
      <c r="F66" s="105">
        <f t="shared" si="0"/>
        <v>0</v>
      </c>
      <c r="G66" s="538"/>
    </row>
    <row r="67" spans="2:7" x14ac:dyDescent="0.3">
      <c r="B67" s="537" t="s">
        <v>256</v>
      </c>
      <c r="C67" s="103" t="s">
        <v>111</v>
      </c>
      <c r="D67" s="103">
        <v>20</v>
      </c>
      <c r="E67" s="104"/>
      <c r="F67" s="105">
        <f t="shared" si="0"/>
        <v>0</v>
      </c>
      <c r="G67" s="538"/>
    </row>
    <row r="68" spans="2:7" x14ac:dyDescent="0.3">
      <c r="B68" s="537" t="s">
        <v>181</v>
      </c>
      <c r="C68" s="103" t="s">
        <v>111</v>
      </c>
      <c r="D68" s="103">
        <v>20</v>
      </c>
      <c r="E68" s="104"/>
      <c r="F68" s="105">
        <f t="shared" si="0"/>
        <v>0</v>
      </c>
      <c r="G68" s="538"/>
    </row>
    <row r="69" spans="2:7" x14ac:dyDescent="0.3">
      <c r="B69" s="537" t="s">
        <v>257</v>
      </c>
      <c r="C69" s="103" t="s">
        <v>111</v>
      </c>
      <c r="D69" s="103">
        <v>20</v>
      </c>
      <c r="E69" s="104"/>
      <c r="F69" s="105">
        <f t="shared" si="0"/>
        <v>0</v>
      </c>
      <c r="G69" s="538"/>
    </row>
    <row r="70" spans="2:7" x14ac:dyDescent="0.3">
      <c r="B70" s="537" t="s">
        <v>116</v>
      </c>
      <c r="C70" s="103" t="s">
        <v>111</v>
      </c>
      <c r="D70" s="103">
        <v>20</v>
      </c>
      <c r="E70" s="104"/>
      <c r="F70" s="105">
        <f t="shared" si="0"/>
        <v>0</v>
      </c>
      <c r="G70" s="541"/>
    </row>
    <row r="71" spans="2:7" x14ac:dyDescent="0.3">
      <c r="B71" s="537" t="s">
        <v>117</v>
      </c>
      <c r="C71" s="103" t="s">
        <v>111</v>
      </c>
      <c r="D71" s="103">
        <v>20</v>
      </c>
      <c r="E71" s="104"/>
      <c r="F71" s="105">
        <f t="shared" si="0"/>
        <v>0</v>
      </c>
      <c r="G71" s="541"/>
    </row>
    <row r="72" spans="2:7" x14ac:dyDescent="0.3">
      <c r="B72" s="537" t="s">
        <v>121</v>
      </c>
      <c r="C72" s="103" t="s">
        <v>111</v>
      </c>
      <c r="D72" s="103">
        <v>20</v>
      </c>
      <c r="E72" s="104"/>
      <c r="F72" s="105">
        <f t="shared" si="0"/>
        <v>0</v>
      </c>
      <c r="G72" s="541"/>
    </row>
    <row r="73" spans="2:7" x14ac:dyDescent="0.3">
      <c r="B73" s="537" t="s">
        <v>113</v>
      </c>
      <c r="C73" s="103" t="s">
        <v>111</v>
      </c>
      <c r="D73" s="103">
        <v>20</v>
      </c>
      <c r="E73" s="104"/>
      <c r="F73" s="105">
        <f t="shared" si="0"/>
        <v>0</v>
      </c>
      <c r="G73" s="541"/>
    </row>
    <row r="74" spans="2:7" x14ac:dyDescent="0.3">
      <c r="B74" s="537" t="s">
        <v>118</v>
      </c>
      <c r="C74" s="103" t="s">
        <v>111</v>
      </c>
      <c r="D74" s="103">
        <v>20</v>
      </c>
      <c r="E74" s="104"/>
      <c r="F74" s="105">
        <f t="shared" si="0"/>
        <v>0</v>
      </c>
      <c r="G74" s="541"/>
    </row>
    <row r="75" spans="2:7" x14ac:dyDescent="0.3">
      <c r="B75" s="537" t="s">
        <v>122</v>
      </c>
      <c r="C75" s="103" t="s">
        <v>111</v>
      </c>
      <c r="D75" s="103">
        <v>20</v>
      </c>
      <c r="E75" s="104"/>
      <c r="F75" s="105">
        <f>IF(E75/D75&lt;1,0,(E75/D75))</f>
        <v>0</v>
      </c>
      <c r="G75" s="541"/>
    </row>
    <row r="76" spans="2:7" x14ac:dyDescent="0.3">
      <c r="B76" s="537"/>
      <c r="C76" s="103"/>
      <c r="D76" s="103"/>
      <c r="E76" s="104"/>
      <c r="F76" s="105"/>
      <c r="G76" s="538"/>
    </row>
    <row r="77" spans="2:7" x14ac:dyDescent="0.3">
      <c r="B77" s="839" t="s">
        <v>258</v>
      </c>
      <c r="C77" s="840"/>
      <c r="D77" s="109"/>
      <c r="E77" s="109"/>
      <c r="F77" s="110"/>
      <c r="G77" s="542"/>
    </row>
    <row r="78" spans="2:7" x14ac:dyDescent="0.3">
      <c r="B78" s="543" t="s">
        <v>756</v>
      </c>
      <c r="C78" s="103" t="s">
        <v>111</v>
      </c>
      <c r="D78" s="103">
        <v>0.01</v>
      </c>
      <c r="E78" s="104"/>
      <c r="F78" s="105">
        <f>IF(D78&gt;0,IF(E78/D78&lt;1,0,(E78/D78)),)</f>
        <v>0</v>
      </c>
      <c r="G78" s="538"/>
    </row>
    <row r="79" spans="2:7" x14ac:dyDescent="0.3">
      <c r="B79" s="543" t="s">
        <v>259</v>
      </c>
      <c r="C79" s="103" t="s">
        <v>111</v>
      </c>
      <c r="D79" s="103">
        <v>0.1</v>
      </c>
      <c r="E79" s="104"/>
      <c r="F79" s="105">
        <f t="shared" ref="F79:F85" si="1">IF(D79&gt;0,IF(E79/D79&lt;1,0,(E79/D79)),)</f>
        <v>0</v>
      </c>
      <c r="G79" s="538"/>
    </row>
    <row r="80" spans="2:7" x14ac:dyDescent="0.3">
      <c r="B80" s="543" t="s">
        <v>260</v>
      </c>
      <c r="C80" s="103" t="s">
        <v>111</v>
      </c>
      <c r="D80" s="103">
        <v>1</v>
      </c>
      <c r="E80" s="104"/>
      <c r="F80" s="105">
        <f t="shared" si="1"/>
        <v>0</v>
      </c>
      <c r="G80" s="538"/>
    </row>
    <row r="81" spans="2:7" x14ac:dyDescent="0.3">
      <c r="B81" s="543" t="s">
        <v>261</v>
      </c>
      <c r="C81" s="103" t="s">
        <v>111</v>
      </c>
      <c r="D81" s="103">
        <v>20</v>
      </c>
      <c r="E81" s="104"/>
      <c r="F81" s="105">
        <f t="shared" si="1"/>
        <v>0</v>
      </c>
      <c r="G81" s="538"/>
    </row>
    <row r="82" spans="2:7" x14ac:dyDescent="0.3">
      <c r="B82" s="543" t="s">
        <v>262</v>
      </c>
      <c r="C82" s="103" t="s">
        <v>111</v>
      </c>
      <c r="D82" s="103">
        <v>100</v>
      </c>
      <c r="E82" s="104"/>
      <c r="F82" s="105">
        <f t="shared" si="1"/>
        <v>0</v>
      </c>
      <c r="G82" s="538"/>
    </row>
    <row r="83" spans="2:7" x14ac:dyDescent="0.3">
      <c r="B83" s="543"/>
      <c r="C83" s="103" t="s">
        <v>111</v>
      </c>
      <c r="D83" s="103"/>
      <c r="E83" s="104"/>
      <c r="F83" s="105">
        <f t="shared" si="1"/>
        <v>0</v>
      </c>
      <c r="G83" s="538"/>
    </row>
    <row r="84" spans="2:7" x14ac:dyDescent="0.3">
      <c r="B84" s="543"/>
      <c r="C84" s="103" t="s">
        <v>111</v>
      </c>
      <c r="D84" s="103"/>
      <c r="E84" s="104"/>
      <c r="F84" s="105">
        <f t="shared" si="1"/>
        <v>0</v>
      </c>
      <c r="G84" s="538"/>
    </row>
    <row r="85" spans="2:7" x14ac:dyDescent="0.3">
      <c r="B85" s="543"/>
      <c r="C85" s="103" t="s">
        <v>111</v>
      </c>
      <c r="D85" s="103"/>
      <c r="E85" s="104"/>
      <c r="F85" s="105">
        <f t="shared" si="1"/>
        <v>0</v>
      </c>
      <c r="G85" s="538"/>
    </row>
    <row r="86" spans="2:7" ht="30.75" customHeight="1" x14ac:dyDescent="0.3">
      <c r="B86" s="827" t="s">
        <v>263</v>
      </c>
      <c r="C86" s="825"/>
      <c r="D86" s="825"/>
      <c r="E86" s="825"/>
      <c r="F86" s="825"/>
      <c r="G86" s="828"/>
    </row>
    <row r="87" spans="2:7" x14ac:dyDescent="0.3">
      <c r="B87" s="537" t="s">
        <v>83</v>
      </c>
      <c r="C87" s="103" t="s">
        <v>83</v>
      </c>
      <c r="D87" s="112" t="s">
        <v>83</v>
      </c>
      <c r="E87" s="104"/>
      <c r="F87" s="105">
        <v>0</v>
      </c>
      <c r="G87" s="538"/>
    </row>
    <row r="88" spans="2:7" x14ac:dyDescent="0.3">
      <c r="B88" s="537" t="s">
        <v>83</v>
      </c>
      <c r="C88" s="103" t="s">
        <v>83</v>
      </c>
      <c r="D88" s="112" t="s">
        <v>83</v>
      </c>
      <c r="E88" s="104"/>
      <c r="F88" s="105">
        <v>0</v>
      </c>
      <c r="G88" s="538"/>
    </row>
    <row r="89" spans="2:7" x14ac:dyDescent="0.3">
      <c r="B89" s="537" t="s">
        <v>83</v>
      </c>
      <c r="C89" s="103" t="s">
        <v>83</v>
      </c>
      <c r="D89" s="112" t="s">
        <v>83</v>
      </c>
      <c r="E89" s="104"/>
      <c r="F89" s="105">
        <v>0</v>
      </c>
      <c r="G89" s="538"/>
    </row>
    <row r="90" spans="2:7" x14ac:dyDescent="0.3">
      <c r="B90" s="537" t="s">
        <v>83</v>
      </c>
      <c r="C90" s="103" t="s">
        <v>83</v>
      </c>
      <c r="D90" s="112" t="s">
        <v>83</v>
      </c>
      <c r="E90" s="104"/>
      <c r="F90" s="105">
        <v>0</v>
      </c>
      <c r="G90" s="538"/>
    </row>
    <row r="91" spans="2:7" x14ac:dyDescent="0.3">
      <c r="B91" s="537"/>
      <c r="C91" s="103"/>
      <c r="D91" s="112"/>
      <c r="E91" s="113" t="s">
        <v>94</v>
      </c>
      <c r="F91" s="114">
        <f>SUM(F9:F90)</f>
        <v>0</v>
      </c>
      <c r="G91" s="544"/>
    </row>
    <row r="92" spans="2:7" ht="15" thickBot="1" x14ac:dyDescent="0.35">
      <c r="B92" s="545"/>
      <c r="C92" s="415"/>
      <c r="D92" s="415"/>
      <c r="E92" s="416"/>
      <c r="F92" s="417"/>
      <c r="G92" s="546"/>
    </row>
  </sheetData>
  <sheetProtection algorithmName="SHA-512" hashValue="/DFBJXJ73OPFGod6kf8IWTqM5ywcdm4u6zt+MHFZS/Jjc8MhSaTuSJ+izTb+uoq2JiAOgIBU/YIrdHHsXmItwg==" saltValue="MJ50cnpopXA+WuptilQrnw==" spinCount="100000" sheet="1" objects="1" scenarios="1"/>
  <mergeCells count="7">
    <mergeCell ref="B86:G86"/>
    <mergeCell ref="B7:D7"/>
    <mergeCell ref="B3:G3"/>
    <mergeCell ref="C5:D5"/>
    <mergeCell ref="E5:G6"/>
    <mergeCell ref="C6:D6"/>
    <mergeCell ref="B77:C77"/>
  </mergeCells>
  <dataValidations count="4">
    <dataValidation allowBlank="1" showInputMessage="1" showErrorMessage="1" promptTitle="Additional Water Emissions" prompt="The following substances should not be entered: _x000a_Biological Oxygen Demand_x000a_Chemical Oxygen Demand_x000a_Suspended Solids_x000a_Ammonia_x000a_Chloride" sqref="B78:B85" xr:uid="{16C3ECFB-1679-4B06-9D70-493D2E53BD2F}"/>
    <dataValidation type="custom" showInputMessage="1" showErrorMessage="1" errorTitle="Additional Substances" error="A substance name must be entered before you can enter an emission value in here" promptTitle="Additional Substances" prompt="Please enter a substance name before entering an emission value" sqref="E78:E85" xr:uid="{5992485E-5DF2-486A-B974-2C4464697775}">
      <formula1>ISBLANK(B78) = FALSE</formula1>
    </dataValidation>
    <dataValidation type="custom" showInputMessage="1" showErrorMessage="1" errorTitle="Substance Notes" error="Notes can only be entered against substances that have an emission value and must not exceed 300 characters in length" promptTitle="Substance Notes" prompt="Only enter notes against substances that have an emission value.  Notes are restricted to 300 characters (40-50 words)" sqref="G9:G18 G20:G35 G37:G40 G42:G62 G64:G76 G78:G85 G87:G90" xr:uid="{1AD7BB02-EC5F-4A1B-86EC-4728F67D6B92}">
      <formula1>ISBLANK(E9) + (LEN(G9) &gt; 300)=0</formula1>
    </dataValidation>
    <dataValidation type="decimal" allowBlank="1" showInputMessage="1" showErrorMessage="1" errorTitle="Emission Quantity" error="Emission quantity is outside the acceptable range. Only enter emissions if they are above the threshold given in the preceeding column. If your emission is very high, check that you have used the correct units." promptTitle="Emission Quantity" prompt="Only enter emissions if they are above the threshold given in the preceeding column. Emissions below this are not taken into account in your EP OPRA Profile." sqref="E9:E18 E20:E35 E37:E40 E42:E62 E64:E76" xr:uid="{DC0BB76C-B26B-4672-87F3-A15836F1C986}">
      <formula1>D9</formula1>
      <formula2>D9*10000000</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8200" r:id="rId3" name="Check Box 8">
              <controlPr defaultSize="0" autoFill="0" autoLine="0" autoPict="0">
                <anchor moveWithCells="1">
                  <from>
                    <xdr:col>4</xdr:col>
                    <xdr:colOff>182880</xdr:colOff>
                    <xdr:row>6</xdr:row>
                    <xdr:rowOff>144780</xdr:rowOff>
                  </from>
                  <to>
                    <xdr:col>5</xdr:col>
                    <xdr:colOff>289560</xdr:colOff>
                    <xdr:row>6</xdr:row>
                    <xdr:rowOff>365760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FDFCF-F773-4EE2-AA45-1D4D2A67C66B}">
  <dimension ref="B2:I14"/>
  <sheetViews>
    <sheetView workbookViewId="0">
      <selection activeCell="C7" sqref="C7:E7"/>
    </sheetView>
  </sheetViews>
  <sheetFormatPr defaultRowHeight="14.4" x14ac:dyDescent="0.3"/>
  <cols>
    <col min="3" max="3" width="19.21875" customWidth="1"/>
    <col min="5" max="5" width="12.44140625" customWidth="1"/>
    <col min="6" max="6" width="10.44140625" customWidth="1"/>
    <col min="8" max="8" width="27.77734375" customWidth="1"/>
  </cols>
  <sheetData>
    <row r="2" spans="2:9" ht="15" thickBot="1" x14ac:dyDescent="0.35"/>
    <row r="3" spans="2:9" ht="18" thickBot="1" x14ac:dyDescent="0.35">
      <c r="B3" s="841" t="s">
        <v>264</v>
      </c>
      <c r="C3" s="842"/>
      <c r="D3" s="842"/>
      <c r="E3" s="842"/>
      <c r="F3" s="842"/>
      <c r="G3" s="842"/>
      <c r="H3" s="842"/>
      <c r="I3" s="843"/>
    </row>
    <row r="4" spans="2:9" x14ac:dyDescent="0.3">
      <c r="B4" s="1"/>
      <c r="C4" s="2"/>
      <c r="D4" s="2"/>
      <c r="E4" s="47"/>
      <c r="F4" s="2"/>
      <c r="G4" s="2"/>
      <c r="H4" s="413"/>
      <c r="I4" s="3"/>
    </row>
    <row r="5" spans="2:9" x14ac:dyDescent="0.3">
      <c r="B5" s="4"/>
      <c r="C5" s="12" t="s">
        <v>47</v>
      </c>
      <c r="D5" s="846">
        <f>+Introduction!E10</f>
        <v>0</v>
      </c>
      <c r="E5" s="847"/>
      <c r="F5" s="833" t="s">
        <v>98</v>
      </c>
      <c r="G5" s="834"/>
      <c r="H5" s="844"/>
      <c r="I5" s="6"/>
    </row>
    <row r="6" spans="2:9" x14ac:dyDescent="0.3">
      <c r="B6" s="4"/>
      <c r="C6" s="12" t="s">
        <v>795</v>
      </c>
      <c r="D6" s="848">
        <f>+Introduction!K10</f>
        <v>0</v>
      </c>
      <c r="E6" s="849"/>
      <c r="F6" s="836"/>
      <c r="G6" s="837"/>
      <c r="H6" s="845"/>
      <c r="I6" s="6"/>
    </row>
    <row r="7" spans="2:9" ht="42.75" customHeight="1" x14ac:dyDescent="0.3">
      <c r="B7" s="4"/>
      <c r="C7" s="818" t="s">
        <v>99</v>
      </c>
      <c r="D7" s="818"/>
      <c r="E7" s="818"/>
      <c r="F7" s="385"/>
      <c r="G7" s="385"/>
      <c r="H7" s="385"/>
      <c r="I7" s="6"/>
    </row>
    <row r="8" spans="2:9" ht="27" x14ac:dyDescent="0.3">
      <c r="B8" s="4"/>
      <c r="C8" s="116" t="s">
        <v>265</v>
      </c>
      <c r="D8" s="117" t="s">
        <v>101</v>
      </c>
      <c r="E8" s="118" t="s">
        <v>102</v>
      </c>
      <c r="F8" s="118" t="s">
        <v>103</v>
      </c>
      <c r="G8" s="118" t="s">
        <v>104</v>
      </c>
      <c r="H8" s="119" t="s">
        <v>105</v>
      </c>
      <c r="I8" s="6"/>
    </row>
    <row r="9" spans="2:9" x14ac:dyDescent="0.3">
      <c r="B9" s="4"/>
      <c r="C9" s="120" t="s">
        <v>266</v>
      </c>
      <c r="D9" s="121" t="s">
        <v>267</v>
      </c>
      <c r="E9" s="121">
        <v>1000</v>
      </c>
      <c r="F9" s="122"/>
      <c r="G9" s="123">
        <f>IF(F9/E9&lt;1,0,(F9/E9))</f>
        <v>0</v>
      </c>
      <c r="H9" s="124"/>
      <c r="I9" s="6"/>
    </row>
    <row r="10" spans="2:9" ht="28.8" x14ac:dyDescent="0.3">
      <c r="B10" s="4"/>
      <c r="C10" s="108" t="s">
        <v>268</v>
      </c>
      <c r="D10" s="103" t="s">
        <v>267</v>
      </c>
      <c r="E10" s="103">
        <v>350</v>
      </c>
      <c r="F10" s="104"/>
      <c r="G10" s="105">
        <f>IF(F10/E10&lt;1,0,(F10/E10))</f>
        <v>0</v>
      </c>
      <c r="H10" s="125"/>
      <c r="I10" s="6"/>
    </row>
    <row r="11" spans="2:9" x14ac:dyDescent="0.3">
      <c r="B11" s="4"/>
      <c r="C11" s="102" t="s">
        <v>269</v>
      </c>
      <c r="D11" s="103" t="s">
        <v>267</v>
      </c>
      <c r="E11" s="103">
        <v>100</v>
      </c>
      <c r="F11" s="104"/>
      <c r="G11" s="105">
        <f>IF(F11/E11&lt;1,0,(F11/E11))</f>
        <v>0</v>
      </c>
      <c r="H11" s="125"/>
      <c r="I11" s="6"/>
    </row>
    <row r="12" spans="2:9" ht="28.8" x14ac:dyDescent="0.3">
      <c r="B12" s="4"/>
      <c r="C12" s="108" t="s">
        <v>270</v>
      </c>
      <c r="D12" s="103" t="s">
        <v>267</v>
      </c>
      <c r="E12" s="103">
        <v>100</v>
      </c>
      <c r="F12" s="104"/>
      <c r="G12" s="105">
        <f>IF(F12/E12&lt;1,0,(F12/E12))</f>
        <v>0</v>
      </c>
      <c r="H12" s="125"/>
      <c r="I12" s="6"/>
    </row>
    <row r="13" spans="2:9" x14ac:dyDescent="0.3">
      <c r="B13" s="4"/>
      <c r="C13" s="108"/>
      <c r="D13" s="103"/>
      <c r="E13" s="103"/>
      <c r="F13" s="103"/>
      <c r="G13" s="105"/>
      <c r="H13" s="126"/>
      <c r="I13" s="6"/>
    </row>
    <row r="14" spans="2:9" ht="15" thickBot="1" x14ac:dyDescent="0.35">
      <c r="B14" s="8"/>
      <c r="C14" s="414"/>
      <c r="D14" s="415"/>
      <c r="E14" s="415"/>
      <c r="F14" s="416" t="s">
        <v>94</v>
      </c>
      <c r="G14" s="417">
        <f>SUM(G9:G12)</f>
        <v>0</v>
      </c>
      <c r="H14" s="418"/>
      <c r="I14" s="10"/>
    </row>
  </sheetData>
  <sheetProtection algorithmName="SHA-512" hashValue="NwSJaDSZdWwNGa69YmTPm4O47a6JzUuA2HDcULJv9YyIxP6FRl6imGCzH9/fuMOoYTndJkirbIFrHlcTG+iPQQ==" saltValue="cnCVU+FySkct8Rm7/ZPMRQ==" spinCount="100000" sheet="1" objects="1" scenarios="1"/>
  <mergeCells count="5">
    <mergeCell ref="B3:I3"/>
    <mergeCell ref="F5:H6"/>
    <mergeCell ref="C7:E7"/>
    <mergeCell ref="D5:E5"/>
    <mergeCell ref="D6:E6"/>
  </mergeCells>
  <dataValidations count="2">
    <dataValidation type="custom" showInputMessage="1" showErrorMessage="1" errorTitle="Substance Notes" error="Notes can only be entered against substances that have an emission value and must not exceed 300 characters in length" promptTitle="Substance Notes" prompt="Only enter notes against substances that have an emission value.  Notes are restricted to 300 characters (40-50 words)" sqref="H9:H12" xr:uid="{925E5310-8567-4370-93F8-0FA20F110B0D}">
      <formula1>ISBLANK(F9) + (LEN(H9) &gt; 300)=0</formula1>
    </dataValidation>
    <dataValidation type="decimal" allowBlank="1" showInputMessage="1" showErrorMessage="1" errorTitle="Emission Quantity" error="Emission quantity is outside the acceptable range. Only enter emissions if they are above the threshold given in the preceeding column. If your emission is very high, check that you have used the correct units." promptTitle="Emission Quantity" prompt="Only enter emissions if they are above the threshold given in the preceeding column. Emissions below this are not taken into account in your EP OPRA Profile." sqref="F9:F12" xr:uid="{F1AB5A59-F60D-4DFA-9C86-4CCBA4006DE7}">
      <formula1>E9</formula1>
      <formula2>E9*10000000</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18" r:id="rId3" name="Check Box 2">
              <controlPr defaultSize="0" autoFill="0" autoLine="0" autoPict="0">
                <anchor moveWithCells="1">
                  <from>
                    <xdr:col>5</xdr:col>
                    <xdr:colOff>182880</xdr:colOff>
                    <xdr:row>6</xdr:row>
                    <xdr:rowOff>144780</xdr:rowOff>
                  </from>
                  <to>
                    <xdr:col>6</xdr:col>
                    <xdr:colOff>289560</xdr:colOff>
                    <xdr:row>6</xdr:row>
                    <xdr:rowOff>365760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C3982-6457-4152-A968-1CC06254CC40}">
  <dimension ref="B1:I92"/>
  <sheetViews>
    <sheetView workbookViewId="0">
      <selection activeCell="C6" sqref="C6:E6"/>
    </sheetView>
  </sheetViews>
  <sheetFormatPr defaultRowHeight="14.4" x14ac:dyDescent="0.3"/>
  <cols>
    <col min="3" max="3" width="27.21875" customWidth="1"/>
    <col min="5" max="5" width="11.77734375" customWidth="1"/>
    <col min="6" max="6" width="11.21875" customWidth="1"/>
    <col min="8" max="8" width="17.77734375" customWidth="1"/>
  </cols>
  <sheetData>
    <row r="1" spans="2:9" ht="15" thickBot="1" x14ac:dyDescent="0.35"/>
    <row r="2" spans="2:9" ht="18" thickBot="1" x14ac:dyDescent="0.35">
      <c r="B2" s="841" t="s">
        <v>271</v>
      </c>
      <c r="C2" s="842"/>
      <c r="D2" s="842"/>
      <c r="E2" s="842"/>
      <c r="F2" s="842"/>
      <c r="G2" s="842"/>
      <c r="H2" s="842"/>
      <c r="I2" s="843"/>
    </row>
    <row r="3" spans="2:9" x14ac:dyDescent="0.3">
      <c r="B3" s="4"/>
      <c r="C3" s="5"/>
      <c r="D3" s="5"/>
      <c r="E3" s="59"/>
      <c r="F3" s="5"/>
      <c r="G3" s="5"/>
      <c r="H3" s="5"/>
      <c r="I3" s="60"/>
    </row>
    <row r="4" spans="2:9" ht="21" customHeight="1" x14ac:dyDescent="0.3">
      <c r="B4" s="4"/>
      <c r="C4" s="12" t="s">
        <v>47</v>
      </c>
      <c r="D4" s="793">
        <f>+Introduction!E10</f>
        <v>0</v>
      </c>
      <c r="E4" s="793"/>
      <c r="F4" s="833" t="s">
        <v>726</v>
      </c>
      <c r="G4" s="834"/>
      <c r="H4" s="844"/>
      <c r="I4" s="60"/>
    </row>
    <row r="5" spans="2:9" ht="22.5" customHeight="1" x14ac:dyDescent="0.3">
      <c r="B5" s="4"/>
      <c r="C5" s="12" t="s">
        <v>797</v>
      </c>
      <c r="D5" s="793">
        <f>+Introduction!K10</f>
        <v>0</v>
      </c>
      <c r="E5" s="793"/>
      <c r="F5" s="836"/>
      <c r="G5" s="837"/>
      <c r="H5" s="845"/>
      <c r="I5" s="60"/>
    </row>
    <row r="6" spans="2:9" ht="42.75" customHeight="1" x14ac:dyDescent="0.3">
      <c r="B6" s="4"/>
      <c r="C6" s="818" t="s">
        <v>99</v>
      </c>
      <c r="D6" s="818"/>
      <c r="E6" s="818"/>
      <c r="F6" s="5"/>
      <c r="G6" s="5"/>
      <c r="H6" s="5"/>
      <c r="I6" s="6"/>
    </row>
    <row r="7" spans="2:9" ht="27" x14ac:dyDescent="0.3">
      <c r="B7" s="4"/>
      <c r="C7" s="12" t="s">
        <v>100</v>
      </c>
      <c r="D7" s="12" t="s">
        <v>101</v>
      </c>
      <c r="E7" s="127" t="s">
        <v>102</v>
      </c>
      <c r="F7" s="127" t="s">
        <v>272</v>
      </c>
      <c r="G7" s="127" t="s">
        <v>104</v>
      </c>
      <c r="H7" s="127" t="s">
        <v>105</v>
      </c>
      <c r="I7" s="60"/>
    </row>
    <row r="8" spans="2:9" x14ac:dyDescent="0.3">
      <c r="B8" s="4"/>
      <c r="C8" s="97" t="s">
        <v>206</v>
      </c>
      <c r="D8" s="98" t="s">
        <v>111</v>
      </c>
      <c r="E8" s="98">
        <v>1E-3</v>
      </c>
      <c r="F8" s="99"/>
      <c r="G8" s="100">
        <f t="shared" ref="G8:G17" si="0">IF(F8/E8&lt;1,0,(F8/E8))</f>
        <v>0</v>
      </c>
      <c r="H8" s="101"/>
      <c r="I8" s="60"/>
    </row>
    <row r="9" spans="2:9" x14ac:dyDescent="0.3">
      <c r="B9" s="4"/>
      <c r="C9" s="102" t="s">
        <v>207</v>
      </c>
      <c r="D9" s="103" t="s">
        <v>111</v>
      </c>
      <c r="E9" s="103">
        <v>1E-3</v>
      </c>
      <c r="F9" s="104"/>
      <c r="G9" s="105">
        <f t="shared" si="0"/>
        <v>0</v>
      </c>
      <c r="H9" s="106"/>
      <c r="I9" s="60"/>
    </row>
    <row r="10" spans="2:9" x14ac:dyDescent="0.3">
      <c r="B10" s="4"/>
      <c r="C10" s="102" t="s">
        <v>208</v>
      </c>
      <c r="D10" s="103" t="s">
        <v>111</v>
      </c>
      <c r="E10" s="103">
        <v>1E-3</v>
      </c>
      <c r="F10" s="104"/>
      <c r="G10" s="105">
        <f t="shared" si="0"/>
        <v>0</v>
      </c>
      <c r="H10" s="106"/>
      <c r="I10" s="60"/>
    </row>
    <row r="11" spans="2:9" x14ac:dyDescent="0.3">
      <c r="B11" s="4"/>
      <c r="C11" s="102" t="s">
        <v>209</v>
      </c>
      <c r="D11" s="103" t="s">
        <v>111</v>
      </c>
      <c r="E11" s="103">
        <v>1E-3</v>
      </c>
      <c r="F11" s="104"/>
      <c r="G11" s="105">
        <f t="shared" si="0"/>
        <v>0</v>
      </c>
      <c r="H11" s="106"/>
      <c r="I11" s="60"/>
    </row>
    <row r="12" spans="2:9" x14ac:dyDescent="0.3">
      <c r="B12" s="4"/>
      <c r="C12" s="102" t="s">
        <v>210</v>
      </c>
      <c r="D12" s="103" t="s">
        <v>111</v>
      </c>
      <c r="E12" s="103">
        <v>1E-3</v>
      </c>
      <c r="F12" s="104"/>
      <c r="G12" s="105">
        <f t="shared" si="0"/>
        <v>0</v>
      </c>
      <c r="H12" s="106"/>
      <c r="I12" s="60"/>
    </row>
    <row r="13" spans="2:9" x14ac:dyDescent="0.3">
      <c r="B13" s="4"/>
      <c r="C13" s="102" t="s">
        <v>211</v>
      </c>
      <c r="D13" s="103" t="s">
        <v>111</v>
      </c>
      <c r="E13" s="103">
        <v>1E-3</v>
      </c>
      <c r="F13" s="104"/>
      <c r="G13" s="105">
        <f t="shared" si="0"/>
        <v>0</v>
      </c>
      <c r="H13" s="106"/>
      <c r="I13" s="60"/>
    </row>
    <row r="14" spans="2:9" x14ac:dyDescent="0.3">
      <c r="B14" s="4"/>
      <c r="C14" s="102" t="s">
        <v>212</v>
      </c>
      <c r="D14" s="103" t="s">
        <v>111</v>
      </c>
      <c r="E14" s="103">
        <v>1E-3</v>
      </c>
      <c r="F14" s="104"/>
      <c r="G14" s="105">
        <f t="shared" si="0"/>
        <v>0</v>
      </c>
      <c r="H14" s="106"/>
      <c r="I14" s="60"/>
    </row>
    <row r="15" spans="2:9" x14ac:dyDescent="0.3">
      <c r="B15" s="4"/>
      <c r="C15" s="102" t="s">
        <v>213</v>
      </c>
      <c r="D15" s="103" t="s">
        <v>111</v>
      </c>
      <c r="E15" s="103">
        <v>1E-3</v>
      </c>
      <c r="F15" s="104"/>
      <c r="G15" s="105">
        <f t="shared" si="0"/>
        <v>0</v>
      </c>
      <c r="H15" s="106"/>
      <c r="I15" s="60"/>
    </row>
    <row r="16" spans="2:9" x14ac:dyDescent="0.3">
      <c r="B16" s="4"/>
      <c r="C16" s="102" t="s">
        <v>214</v>
      </c>
      <c r="D16" s="103" t="s">
        <v>111</v>
      </c>
      <c r="E16" s="103">
        <v>1E-3</v>
      </c>
      <c r="F16" s="104"/>
      <c r="G16" s="105">
        <f t="shared" si="0"/>
        <v>0</v>
      </c>
      <c r="H16" s="106"/>
      <c r="I16" s="60"/>
    </row>
    <row r="17" spans="2:9" x14ac:dyDescent="0.3">
      <c r="B17" s="4"/>
      <c r="C17" s="102" t="s">
        <v>215</v>
      </c>
      <c r="D17" s="103" t="s">
        <v>111</v>
      </c>
      <c r="E17" s="103">
        <v>1E-3</v>
      </c>
      <c r="F17" s="104"/>
      <c r="G17" s="105">
        <f t="shared" si="0"/>
        <v>0</v>
      </c>
      <c r="H17" s="106"/>
      <c r="I17" s="60"/>
    </row>
    <row r="18" spans="2:9" x14ac:dyDescent="0.3">
      <c r="B18" s="4"/>
      <c r="C18" s="102"/>
      <c r="D18" s="103" t="s">
        <v>111</v>
      </c>
      <c r="E18" s="103"/>
      <c r="F18" s="103"/>
      <c r="G18" s="105"/>
      <c r="H18" s="107"/>
      <c r="I18" s="60"/>
    </row>
    <row r="19" spans="2:9" x14ac:dyDescent="0.3">
      <c r="B19" s="4"/>
      <c r="C19" s="102" t="s">
        <v>216</v>
      </c>
      <c r="D19" s="103" t="s">
        <v>111</v>
      </c>
      <c r="E19" s="103">
        <v>0.01</v>
      </c>
      <c r="F19" s="104"/>
      <c r="G19" s="105">
        <f t="shared" ref="G19:G34" si="1">IF(F19/E19&lt;1,0,(F19/E19))</f>
        <v>0</v>
      </c>
      <c r="H19" s="106"/>
      <c r="I19" s="60"/>
    </row>
    <row r="20" spans="2:9" x14ac:dyDescent="0.3">
      <c r="B20" s="4"/>
      <c r="C20" s="102" t="s">
        <v>273</v>
      </c>
      <c r="D20" s="103" t="s">
        <v>111</v>
      </c>
      <c r="E20" s="103">
        <v>0.01</v>
      </c>
      <c r="F20" s="104"/>
      <c r="G20" s="105">
        <f t="shared" si="1"/>
        <v>0</v>
      </c>
      <c r="H20" s="106"/>
      <c r="I20" s="60"/>
    </row>
    <row r="21" spans="2:9" x14ac:dyDescent="0.3">
      <c r="B21" s="4"/>
      <c r="C21" s="102" t="s">
        <v>218</v>
      </c>
      <c r="D21" s="103" t="s">
        <v>111</v>
      </c>
      <c r="E21" s="103">
        <v>0.01</v>
      </c>
      <c r="F21" s="104"/>
      <c r="G21" s="105">
        <f t="shared" si="1"/>
        <v>0</v>
      </c>
      <c r="H21" s="106"/>
      <c r="I21" s="60"/>
    </row>
    <row r="22" spans="2:9" x14ac:dyDescent="0.3">
      <c r="B22" s="4"/>
      <c r="C22" s="102" t="s">
        <v>219</v>
      </c>
      <c r="D22" s="103" t="s">
        <v>111</v>
      </c>
      <c r="E22" s="103">
        <v>0.01</v>
      </c>
      <c r="F22" s="104"/>
      <c r="G22" s="105">
        <f t="shared" si="1"/>
        <v>0</v>
      </c>
      <c r="H22" s="106"/>
      <c r="I22" s="60"/>
    </row>
    <row r="23" spans="2:9" x14ac:dyDescent="0.3">
      <c r="B23" s="4"/>
      <c r="C23" s="102" t="s">
        <v>220</v>
      </c>
      <c r="D23" s="103" t="s">
        <v>111</v>
      </c>
      <c r="E23" s="103">
        <v>0.01</v>
      </c>
      <c r="F23" s="104"/>
      <c r="G23" s="105">
        <f t="shared" si="1"/>
        <v>0</v>
      </c>
      <c r="H23" s="106"/>
      <c r="I23" s="60"/>
    </row>
    <row r="24" spans="2:9" x14ac:dyDescent="0.3">
      <c r="B24" s="4"/>
      <c r="C24" s="102" t="s">
        <v>221</v>
      </c>
      <c r="D24" s="103" t="s">
        <v>111</v>
      </c>
      <c r="E24" s="103">
        <v>0.01</v>
      </c>
      <c r="F24" s="104"/>
      <c r="G24" s="105">
        <f t="shared" si="1"/>
        <v>0</v>
      </c>
      <c r="H24" s="106"/>
      <c r="I24" s="60"/>
    </row>
    <row r="25" spans="2:9" x14ac:dyDescent="0.3">
      <c r="B25" s="4"/>
      <c r="C25" s="102" t="s">
        <v>222</v>
      </c>
      <c r="D25" s="103" t="s">
        <v>111</v>
      </c>
      <c r="E25" s="103">
        <v>0.01</v>
      </c>
      <c r="F25" s="104"/>
      <c r="G25" s="105">
        <f t="shared" si="1"/>
        <v>0</v>
      </c>
      <c r="H25" s="106"/>
      <c r="I25" s="60"/>
    </row>
    <row r="26" spans="2:9" x14ac:dyDescent="0.3">
      <c r="B26" s="4"/>
      <c r="C26" s="102" t="s">
        <v>223</v>
      </c>
      <c r="D26" s="103" t="s">
        <v>111</v>
      </c>
      <c r="E26" s="103">
        <v>0.01</v>
      </c>
      <c r="F26" s="104"/>
      <c r="G26" s="105">
        <f t="shared" si="1"/>
        <v>0</v>
      </c>
      <c r="H26" s="106"/>
      <c r="I26" s="60"/>
    </row>
    <row r="27" spans="2:9" x14ac:dyDescent="0.3">
      <c r="B27" s="4"/>
      <c r="C27" s="102" t="s">
        <v>224</v>
      </c>
      <c r="D27" s="103" t="s">
        <v>111</v>
      </c>
      <c r="E27" s="103">
        <v>0.01</v>
      </c>
      <c r="F27" s="104"/>
      <c r="G27" s="105">
        <f t="shared" si="1"/>
        <v>0</v>
      </c>
      <c r="H27" s="106"/>
      <c r="I27" s="60"/>
    </row>
    <row r="28" spans="2:9" x14ac:dyDescent="0.3">
      <c r="B28" s="4"/>
      <c r="C28" s="102" t="s">
        <v>225</v>
      </c>
      <c r="D28" s="103" t="s">
        <v>111</v>
      </c>
      <c r="E28" s="103">
        <v>0.01</v>
      </c>
      <c r="F28" s="104"/>
      <c r="G28" s="105">
        <f t="shared" si="1"/>
        <v>0</v>
      </c>
      <c r="H28" s="106"/>
      <c r="I28" s="60"/>
    </row>
    <row r="29" spans="2:9" x14ac:dyDescent="0.3">
      <c r="B29" s="4"/>
      <c r="C29" s="102" t="s">
        <v>226</v>
      </c>
      <c r="D29" s="103" t="s">
        <v>111</v>
      </c>
      <c r="E29" s="103">
        <v>0.01</v>
      </c>
      <c r="F29" s="104"/>
      <c r="G29" s="105">
        <f t="shared" si="1"/>
        <v>0</v>
      </c>
      <c r="H29" s="106"/>
      <c r="I29" s="60"/>
    </row>
    <row r="30" spans="2:9" x14ac:dyDescent="0.3">
      <c r="B30" s="4"/>
      <c r="C30" s="102" t="s">
        <v>227</v>
      </c>
      <c r="D30" s="103" t="s">
        <v>111</v>
      </c>
      <c r="E30" s="103">
        <v>0.01</v>
      </c>
      <c r="F30" s="104"/>
      <c r="G30" s="105">
        <f t="shared" si="1"/>
        <v>0</v>
      </c>
      <c r="H30" s="106"/>
      <c r="I30" s="60"/>
    </row>
    <row r="31" spans="2:9" x14ac:dyDescent="0.3">
      <c r="B31" s="4"/>
      <c r="C31" s="102" t="s">
        <v>228</v>
      </c>
      <c r="D31" s="103" t="s">
        <v>111</v>
      </c>
      <c r="E31" s="103">
        <v>0.01</v>
      </c>
      <c r="F31" s="104"/>
      <c r="G31" s="105">
        <f t="shared" si="1"/>
        <v>0</v>
      </c>
      <c r="H31" s="106"/>
      <c r="I31" s="60"/>
    </row>
    <row r="32" spans="2:9" x14ac:dyDescent="0.3">
      <c r="B32" s="4"/>
      <c r="C32" s="102" t="s">
        <v>229</v>
      </c>
      <c r="D32" s="103" t="s">
        <v>111</v>
      </c>
      <c r="E32" s="103">
        <v>0.01</v>
      </c>
      <c r="F32" s="104"/>
      <c r="G32" s="105">
        <f t="shared" si="1"/>
        <v>0</v>
      </c>
      <c r="H32" s="106"/>
      <c r="I32" s="60"/>
    </row>
    <row r="33" spans="2:9" x14ac:dyDescent="0.3">
      <c r="B33" s="4"/>
      <c r="C33" s="102" t="s">
        <v>230</v>
      </c>
      <c r="D33" s="103" t="s">
        <v>111</v>
      </c>
      <c r="E33" s="103">
        <v>0.01</v>
      </c>
      <c r="F33" s="104"/>
      <c r="G33" s="105">
        <f t="shared" si="1"/>
        <v>0</v>
      </c>
      <c r="H33" s="106"/>
      <c r="I33" s="60"/>
    </row>
    <row r="34" spans="2:9" x14ac:dyDescent="0.3">
      <c r="B34" s="4"/>
      <c r="C34" s="102" t="s">
        <v>231</v>
      </c>
      <c r="D34" s="103" t="s">
        <v>111</v>
      </c>
      <c r="E34" s="103">
        <v>0.01</v>
      </c>
      <c r="F34" s="104"/>
      <c r="G34" s="105">
        <f t="shared" si="1"/>
        <v>0</v>
      </c>
      <c r="H34" s="106"/>
      <c r="I34" s="60"/>
    </row>
    <row r="35" spans="2:9" x14ac:dyDescent="0.3">
      <c r="B35" s="4"/>
      <c r="C35" s="102"/>
      <c r="D35" s="103"/>
      <c r="E35" s="103"/>
      <c r="F35" s="103"/>
      <c r="G35" s="105"/>
      <c r="H35" s="107"/>
      <c r="I35" s="60"/>
    </row>
    <row r="36" spans="2:9" x14ac:dyDescent="0.3">
      <c r="B36" s="4"/>
      <c r="C36" s="102" t="s">
        <v>232</v>
      </c>
      <c r="D36" s="103" t="s">
        <v>111</v>
      </c>
      <c r="E36" s="103">
        <v>0.1</v>
      </c>
      <c r="F36" s="104"/>
      <c r="G36" s="105">
        <f>IF(F36/E36&lt;1,0,(F36/E36))</f>
        <v>0</v>
      </c>
      <c r="H36" s="106"/>
      <c r="I36" s="60"/>
    </row>
    <row r="37" spans="2:9" ht="28.8" x14ac:dyDescent="0.3">
      <c r="B37" s="4"/>
      <c r="C37" s="108" t="s">
        <v>233</v>
      </c>
      <c r="D37" s="103" t="s">
        <v>111</v>
      </c>
      <c r="E37" s="103">
        <v>0.1</v>
      </c>
      <c r="F37" s="104"/>
      <c r="G37" s="105">
        <f>IF(F37/E37&lt;1,0,(F37/E37))</f>
        <v>0</v>
      </c>
      <c r="H37" s="106"/>
      <c r="I37" s="60"/>
    </row>
    <row r="38" spans="2:9" x14ac:dyDescent="0.3">
      <c r="B38" s="4"/>
      <c r="C38" s="108" t="s">
        <v>234</v>
      </c>
      <c r="D38" s="103" t="s">
        <v>111</v>
      </c>
      <c r="E38" s="103">
        <v>0.1</v>
      </c>
      <c r="F38" s="104"/>
      <c r="G38" s="105">
        <f>IF(F38/E38&lt;1,0,(F38/E38))</f>
        <v>0</v>
      </c>
      <c r="H38" s="106"/>
      <c r="I38" s="60"/>
    </row>
    <row r="39" spans="2:9" x14ac:dyDescent="0.3">
      <c r="B39" s="4"/>
      <c r="C39" s="108" t="s">
        <v>235</v>
      </c>
      <c r="D39" s="103" t="s">
        <v>111</v>
      </c>
      <c r="E39" s="103">
        <v>0.1</v>
      </c>
      <c r="F39" s="104"/>
      <c r="G39" s="105">
        <f>IF(F39/E39&lt;1,0,(F39/E39))</f>
        <v>0</v>
      </c>
      <c r="H39" s="106"/>
      <c r="I39" s="60"/>
    </row>
    <row r="40" spans="2:9" x14ac:dyDescent="0.3">
      <c r="B40" s="4"/>
      <c r="C40" s="102"/>
      <c r="D40" s="103"/>
      <c r="E40" s="103"/>
      <c r="F40" s="103"/>
      <c r="G40" s="105"/>
      <c r="H40" s="107"/>
      <c r="I40" s="60"/>
    </row>
    <row r="41" spans="2:9" x14ac:dyDescent="0.3">
      <c r="B41" s="4"/>
      <c r="C41" s="102" t="s">
        <v>135</v>
      </c>
      <c r="D41" s="103" t="s">
        <v>111</v>
      </c>
      <c r="E41" s="103">
        <v>1</v>
      </c>
      <c r="F41" s="104"/>
      <c r="G41" s="105">
        <f t="shared" ref="G41:G61" si="2">IF(F41/E41&lt;1,0,(F41/E41))</f>
        <v>0</v>
      </c>
      <c r="H41" s="106"/>
      <c r="I41" s="60"/>
    </row>
    <row r="42" spans="2:9" x14ac:dyDescent="0.3">
      <c r="B42" s="4"/>
      <c r="C42" s="102" t="s">
        <v>236</v>
      </c>
      <c r="D42" s="103" t="s">
        <v>111</v>
      </c>
      <c r="E42" s="103">
        <v>1</v>
      </c>
      <c r="F42" s="104"/>
      <c r="G42" s="105">
        <f t="shared" si="2"/>
        <v>0</v>
      </c>
      <c r="H42" s="106"/>
      <c r="I42" s="60"/>
    </row>
    <row r="43" spans="2:9" x14ac:dyDescent="0.3">
      <c r="B43" s="4"/>
      <c r="C43" s="102" t="s">
        <v>237</v>
      </c>
      <c r="D43" s="103" t="s">
        <v>111</v>
      </c>
      <c r="E43" s="103">
        <v>1</v>
      </c>
      <c r="F43" s="104"/>
      <c r="G43" s="105">
        <f t="shared" si="2"/>
        <v>0</v>
      </c>
      <c r="H43" s="106"/>
      <c r="I43" s="60"/>
    </row>
    <row r="44" spans="2:9" x14ac:dyDescent="0.3">
      <c r="B44" s="4"/>
      <c r="C44" s="102" t="s">
        <v>238</v>
      </c>
      <c r="D44" s="103" t="s">
        <v>111</v>
      </c>
      <c r="E44" s="103">
        <v>1</v>
      </c>
      <c r="F44" s="104"/>
      <c r="G44" s="105">
        <f t="shared" si="2"/>
        <v>0</v>
      </c>
      <c r="H44" s="106"/>
      <c r="I44" s="60"/>
    </row>
    <row r="45" spans="2:9" x14ac:dyDescent="0.3">
      <c r="B45" s="4"/>
      <c r="C45" s="102" t="s">
        <v>138</v>
      </c>
      <c r="D45" s="103" t="s">
        <v>111</v>
      </c>
      <c r="E45" s="103">
        <v>1</v>
      </c>
      <c r="F45" s="104"/>
      <c r="G45" s="105">
        <f t="shared" si="2"/>
        <v>0</v>
      </c>
      <c r="H45" s="106"/>
      <c r="I45" s="60"/>
    </row>
    <row r="46" spans="2:9" x14ac:dyDescent="0.3">
      <c r="B46" s="4"/>
      <c r="C46" s="102" t="s">
        <v>239</v>
      </c>
      <c r="D46" s="103" t="s">
        <v>111</v>
      </c>
      <c r="E46" s="103">
        <v>1</v>
      </c>
      <c r="F46" s="104"/>
      <c r="G46" s="105">
        <f t="shared" si="2"/>
        <v>0</v>
      </c>
      <c r="H46" s="106"/>
      <c r="I46" s="60"/>
    </row>
    <row r="47" spans="2:9" x14ac:dyDescent="0.3">
      <c r="B47" s="4"/>
      <c r="C47" s="102" t="s">
        <v>240</v>
      </c>
      <c r="D47" s="103" t="s">
        <v>111</v>
      </c>
      <c r="E47" s="103">
        <v>1</v>
      </c>
      <c r="F47" s="104"/>
      <c r="G47" s="105">
        <f t="shared" si="2"/>
        <v>0</v>
      </c>
      <c r="H47" s="106"/>
      <c r="I47" s="60"/>
    </row>
    <row r="48" spans="2:9" x14ac:dyDescent="0.3">
      <c r="B48" s="4"/>
      <c r="C48" s="102" t="s">
        <v>241</v>
      </c>
      <c r="D48" s="103" t="s">
        <v>111</v>
      </c>
      <c r="E48" s="103">
        <v>1</v>
      </c>
      <c r="F48" s="104"/>
      <c r="G48" s="105">
        <f t="shared" si="2"/>
        <v>0</v>
      </c>
      <c r="H48" s="106"/>
      <c r="I48" s="60"/>
    </row>
    <row r="49" spans="2:9" x14ac:dyDescent="0.3">
      <c r="B49" s="4"/>
      <c r="C49" s="102" t="s">
        <v>242</v>
      </c>
      <c r="D49" s="103" t="s">
        <v>111</v>
      </c>
      <c r="E49" s="103">
        <v>1</v>
      </c>
      <c r="F49" s="104"/>
      <c r="G49" s="105">
        <f t="shared" si="2"/>
        <v>0</v>
      </c>
      <c r="H49" s="106"/>
      <c r="I49" s="60"/>
    </row>
    <row r="50" spans="2:9" x14ac:dyDescent="0.3">
      <c r="B50" s="4"/>
      <c r="C50" s="102" t="s">
        <v>243</v>
      </c>
      <c r="D50" s="103" t="s">
        <v>111</v>
      </c>
      <c r="E50" s="103">
        <v>1</v>
      </c>
      <c r="F50" s="104"/>
      <c r="G50" s="105">
        <f t="shared" si="2"/>
        <v>0</v>
      </c>
      <c r="H50" s="106"/>
      <c r="I50" s="60"/>
    </row>
    <row r="51" spans="2:9" x14ac:dyDescent="0.3">
      <c r="B51" s="4"/>
      <c r="C51" s="102" t="s">
        <v>244</v>
      </c>
      <c r="D51" s="103" t="s">
        <v>111</v>
      </c>
      <c r="E51" s="103">
        <v>1</v>
      </c>
      <c r="F51" s="104"/>
      <c r="G51" s="105">
        <f t="shared" si="2"/>
        <v>0</v>
      </c>
      <c r="H51" s="106"/>
      <c r="I51" s="60"/>
    </row>
    <row r="52" spans="2:9" x14ac:dyDescent="0.3">
      <c r="B52" s="4"/>
      <c r="C52" s="102" t="s">
        <v>245</v>
      </c>
      <c r="D52" s="103" t="s">
        <v>111</v>
      </c>
      <c r="E52" s="103">
        <v>1</v>
      </c>
      <c r="F52" s="104"/>
      <c r="G52" s="105">
        <f t="shared" si="2"/>
        <v>0</v>
      </c>
      <c r="H52" s="106"/>
      <c r="I52" s="60"/>
    </row>
    <row r="53" spans="2:9" x14ac:dyDescent="0.3">
      <c r="B53" s="4"/>
      <c r="C53" s="102" t="s">
        <v>246</v>
      </c>
      <c r="D53" s="103" t="s">
        <v>111</v>
      </c>
      <c r="E53" s="103">
        <v>1</v>
      </c>
      <c r="F53" s="104"/>
      <c r="G53" s="105">
        <f t="shared" si="2"/>
        <v>0</v>
      </c>
      <c r="H53" s="106"/>
      <c r="I53" s="60"/>
    </row>
    <row r="54" spans="2:9" x14ac:dyDescent="0.3">
      <c r="B54" s="4"/>
      <c r="C54" s="102" t="s">
        <v>247</v>
      </c>
      <c r="D54" s="103" t="s">
        <v>111</v>
      </c>
      <c r="E54" s="103">
        <v>1</v>
      </c>
      <c r="F54" s="104"/>
      <c r="G54" s="105">
        <f t="shared" si="2"/>
        <v>0</v>
      </c>
      <c r="H54" s="106"/>
      <c r="I54" s="60"/>
    </row>
    <row r="55" spans="2:9" x14ac:dyDescent="0.3">
      <c r="B55" s="4"/>
      <c r="C55" s="102" t="s">
        <v>248</v>
      </c>
      <c r="D55" s="103" t="s">
        <v>111</v>
      </c>
      <c r="E55" s="103">
        <v>1</v>
      </c>
      <c r="F55" s="104"/>
      <c r="G55" s="105">
        <f t="shared" si="2"/>
        <v>0</v>
      </c>
      <c r="H55" s="106"/>
      <c r="I55" s="60"/>
    </row>
    <row r="56" spans="2:9" x14ac:dyDescent="0.3">
      <c r="B56" s="4"/>
      <c r="C56" s="102" t="s">
        <v>249</v>
      </c>
      <c r="D56" s="103" t="s">
        <v>111</v>
      </c>
      <c r="E56" s="103">
        <v>1</v>
      </c>
      <c r="F56" s="104"/>
      <c r="G56" s="105">
        <f t="shared" si="2"/>
        <v>0</v>
      </c>
      <c r="H56" s="106"/>
      <c r="I56" s="60"/>
    </row>
    <row r="57" spans="2:9" x14ac:dyDescent="0.3">
      <c r="B57" s="4"/>
      <c r="C57" s="102" t="s">
        <v>250</v>
      </c>
      <c r="D57" s="103" t="s">
        <v>111</v>
      </c>
      <c r="E57" s="103">
        <v>1</v>
      </c>
      <c r="F57" s="104"/>
      <c r="G57" s="105">
        <f t="shared" si="2"/>
        <v>0</v>
      </c>
      <c r="H57" s="106"/>
      <c r="I57" s="60"/>
    </row>
    <row r="58" spans="2:9" x14ac:dyDescent="0.3">
      <c r="B58" s="4"/>
      <c r="C58" s="102" t="s">
        <v>251</v>
      </c>
      <c r="D58" s="103" t="s">
        <v>111</v>
      </c>
      <c r="E58" s="103">
        <v>1</v>
      </c>
      <c r="F58" s="104"/>
      <c r="G58" s="105">
        <f t="shared" si="2"/>
        <v>0</v>
      </c>
      <c r="H58" s="106"/>
      <c r="I58" s="60"/>
    </row>
    <row r="59" spans="2:9" x14ac:dyDescent="0.3">
      <c r="B59" s="4"/>
      <c r="C59" s="102" t="s">
        <v>252</v>
      </c>
      <c r="D59" s="103" t="s">
        <v>111</v>
      </c>
      <c r="E59" s="103">
        <v>1</v>
      </c>
      <c r="F59" s="104"/>
      <c r="G59" s="105">
        <f t="shared" si="2"/>
        <v>0</v>
      </c>
      <c r="H59" s="106"/>
      <c r="I59" s="60"/>
    </row>
    <row r="60" spans="2:9" x14ac:dyDescent="0.3">
      <c r="B60" s="4"/>
      <c r="C60" s="102" t="s">
        <v>112</v>
      </c>
      <c r="D60" s="103" t="s">
        <v>111</v>
      </c>
      <c r="E60" s="103">
        <v>1</v>
      </c>
      <c r="F60" s="104"/>
      <c r="G60" s="105">
        <f t="shared" si="2"/>
        <v>0</v>
      </c>
      <c r="H60" s="106"/>
      <c r="I60" s="60"/>
    </row>
    <row r="61" spans="2:9" x14ac:dyDescent="0.3">
      <c r="B61" s="4"/>
      <c r="C61" s="102" t="s">
        <v>114</v>
      </c>
      <c r="D61" s="103" t="s">
        <v>111</v>
      </c>
      <c r="E61" s="103">
        <v>1</v>
      </c>
      <c r="F61" s="104"/>
      <c r="G61" s="105">
        <f t="shared" si="2"/>
        <v>0</v>
      </c>
      <c r="H61" s="106"/>
      <c r="I61" s="60"/>
    </row>
    <row r="62" spans="2:9" x14ac:dyDescent="0.3">
      <c r="B62" s="4"/>
      <c r="C62" s="102"/>
      <c r="D62" s="103"/>
      <c r="E62" s="103"/>
      <c r="F62" s="103"/>
      <c r="G62" s="105"/>
      <c r="H62" s="107"/>
      <c r="I62" s="60"/>
    </row>
    <row r="63" spans="2:9" x14ac:dyDescent="0.3">
      <c r="B63" s="4"/>
      <c r="C63" s="102" t="s">
        <v>253</v>
      </c>
      <c r="D63" s="103" t="s">
        <v>111</v>
      </c>
      <c r="E63" s="103">
        <v>20</v>
      </c>
      <c r="F63" s="104"/>
      <c r="G63" s="105">
        <f t="shared" ref="G63:G74" si="3">IF(F63/E63&lt;1,0,(F63/E63))</f>
        <v>0</v>
      </c>
      <c r="H63" s="106"/>
      <c r="I63" s="60"/>
    </row>
    <row r="64" spans="2:9" x14ac:dyDescent="0.3">
      <c r="B64" s="4"/>
      <c r="C64" s="102" t="s">
        <v>254</v>
      </c>
      <c r="D64" s="103" t="s">
        <v>111</v>
      </c>
      <c r="E64" s="103">
        <v>20</v>
      </c>
      <c r="F64" s="104"/>
      <c r="G64" s="105">
        <f t="shared" si="3"/>
        <v>0</v>
      </c>
      <c r="H64" s="106"/>
      <c r="I64" s="60"/>
    </row>
    <row r="65" spans="2:9" x14ac:dyDescent="0.3">
      <c r="B65" s="4"/>
      <c r="C65" s="102" t="s">
        <v>255</v>
      </c>
      <c r="D65" s="103" t="s">
        <v>111</v>
      </c>
      <c r="E65" s="103">
        <v>20</v>
      </c>
      <c r="F65" s="104"/>
      <c r="G65" s="105">
        <f t="shared" si="3"/>
        <v>0</v>
      </c>
      <c r="H65" s="106"/>
      <c r="I65" s="60"/>
    </row>
    <row r="66" spans="2:9" x14ac:dyDescent="0.3">
      <c r="B66" s="4"/>
      <c r="C66" s="102" t="s">
        <v>256</v>
      </c>
      <c r="D66" s="103" t="s">
        <v>111</v>
      </c>
      <c r="E66" s="103">
        <v>20</v>
      </c>
      <c r="F66" s="104"/>
      <c r="G66" s="105">
        <f t="shared" si="3"/>
        <v>0</v>
      </c>
      <c r="H66" s="106"/>
      <c r="I66" s="60"/>
    </row>
    <row r="67" spans="2:9" x14ac:dyDescent="0.3">
      <c r="B67" s="4"/>
      <c r="C67" s="102" t="s">
        <v>181</v>
      </c>
      <c r="D67" s="103" t="s">
        <v>111</v>
      </c>
      <c r="E67" s="103">
        <v>20</v>
      </c>
      <c r="F67" s="104"/>
      <c r="G67" s="105">
        <f t="shared" si="3"/>
        <v>0</v>
      </c>
      <c r="H67" s="106"/>
      <c r="I67" s="60"/>
    </row>
    <row r="68" spans="2:9" x14ac:dyDescent="0.3">
      <c r="B68" s="4"/>
      <c r="C68" s="102" t="s">
        <v>257</v>
      </c>
      <c r="D68" s="103" t="s">
        <v>111</v>
      </c>
      <c r="E68" s="103">
        <v>20</v>
      </c>
      <c r="F68" s="104"/>
      <c r="G68" s="105">
        <f t="shared" si="3"/>
        <v>0</v>
      </c>
      <c r="H68" s="106"/>
      <c r="I68" s="60"/>
    </row>
    <row r="69" spans="2:9" x14ac:dyDescent="0.3">
      <c r="B69" s="4"/>
      <c r="C69" s="102" t="s">
        <v>116</v>
      </c>
      <c r="D69" s="103" t="s">
        <v>111</v>
      </c>
      <c r="E69" s="103">
        <v>20</v>
      </c>
      <c r="F69" s="104"/>
      <c r="G69" s="105">
        <f t="shared" si="3"/>
        <v>0</v>
      </c>
      <c r="H69" s="106"/>
      <c r="I69" s="60"/>
    </row>
    <row r="70" spans="2:9" x14ac:dyDescent="0.3">
      <c r="B70" s="4"/>
      <c r="C70" s="102" t="s">
        <v>117</v>
      </c>
      <c r="D70" s="103" t="s">
        <v>111</v>
      </c>
      <c r="E70" s="103">
        <v>20</v>
      </c>
      <c r="F70" s="104"/>
      <c r="G70" s="105">
        <f t="shared" si="3"/>
        <v>0</v>
      </c>
      <c r="H70" s="106"/>
      <c r="I70" s="60"/>
    </row>
    <row r="71" spans="2:9" x14ac:dyDescent="0.3">
      <c r="B71" s="4"/>
      <c r="C71" s="102" t="s">
        <v>121</v>
      </c>
      <c r="D71" s="103" t="s">
        <v>111</v>
      </c>
      <c r="E71" s="103">
        <v>20</v>
      </c>
      <c r="F71" s="104"/>
      <c r="G71" s="105">
        <f t="shared" si="3"/>
        <v>0</v>
      </c>
      <c r="H71" s="106"/>
      <c r="I71" s="60"/>
    </row>
    <row r="72" spans="2:9" x14ac:dyDescent="0.3">
      <c r="B72" s="4"/>
      <c r="C72" s="102" t="s">
        <v>113</v>
      </c>
      <c r="D72" s="103" t="s">
        <v>111</v>
      </c>
      <c r="E72" s="103">
        <v>20</v>
      </c>
      <c r="F72" s="104"/>
      <c r="G72" s="105">
        <f t="shared" si="3"/>
        <v>0</v>
      </c>
      <c r="H72" s="106"/>
      <c r="I72" s="60"/>
    </row>
    <row r="73" spans="2:9" x14ac:dyDescent="0.3">
      <c r="B73" s="4"/>
      <c r="C73" s="102" t="s">
        <v>118</v>
      </c>
      <c r="D73" s="103" t="s">
        <v>111</v>
      </c>
      <c r="E73" s="103">
        <v>20</v>
      </c>
      <c r="F73" s="104"/>
      <c r="G73" s="105">
        <f t="shared" si="3"/>
        <v>0</v>
      </c>
      <c r="H73" s="106"/>
      <c r="I73" s="60"/>
    </row>
    <row r="74" spans="2:9" x14ac:dyDescent="0.3">
      <c r="B74" s="4"/>
      <c r="C74" s="102" t="s">
        <v>122</v>
      </c>
      <c r="D74" s="103" t="s">
        <v>111</v>
      </c>
      <c r="E74" s="103">
        <v>20</v>
      </c>
      <c r="F74" s="104"/>
      <c r="G74" s="105">
        <f t="shared" si="3"/>
        <v>0</v>
      </c>
      <c r="H74" s="106"/>
      <c r="I74" s="60"/>
    </row>
    <row r="75" spans="2:9" x14ac:dyDescent="0.3">
      <c r="B75" s="4"/>
      <c r="C75" s="102"/>
      <c r="D75" s="103"/>
      <c r="E75" s="103"/>
      <c r="F75" s="103"/>
      <c r="G75" s="105"/>
      <c r="H75" s="107"/>
      <c r="I75" s="60"/>
    </row>
    <row r="76" spans="2:9" x14ac:dyDescent="0.3">
      <c r="B76" s="4"/>
      <c r="C76" s="854" t="s">
        <v>258</v>
      </c>
      <c r="D76" s="855"/>
      <c r="E76" s="855"/>
      <c r="F76" s="856"/>
      <c r="G76" s="105"/>
      <c r="H76" s="107"/>
      <c r="I76" s="60"/>
    </row>
    <row r="77" spans="2:9" x14ac:dyDescent="0.3">
      <c r="B77" s="4"/>
      <c r="C77" s="102" t="s">
        <v>274</v>
      </c>
      <c r="D77" s="103" t="s">
        <v>111</v>
      </c>
      <c r="E77" s="103">
        <v>10000</v>
      </c>
      <c r="F77" s="104"/>
      <c r="G77" s="105">
        <f>IF(F77/E77&lt;1,0,(F77/E77))</f>
        <v>0</v>
      </c>
      <c r="H77" s="106"/>
      <c r="I77" s="60"/>
    </row>
    <row r="78" spans="2:9" x14ac:dyDescent="0.3">
      <c r="B78" s="4"/>
      <c r="C78" s="102" t="s">
        <v>275</v>
      </c>
      <c r="D78" s="103" t="s">
        <v>111</v>
      </c>
      <c r="E78" s="103">
        <v>10000</v>
      </c>
      <c r="F78" s="104"/>
      <c r="G78" s="105">
        <f>IF(F78/E78&lt;1,0,(F78/E78))</f>
        <v>0</v>
      </c>
      <c r="H78" s="106"/>
      <c r="I78" s="60"/>
    </row>
    <row r="79" spans="2:9" x14ac:dyDescent="0.3">
      <c r="B79" s="4"/>
      <c r="C79" s="111" t="s">
        <v>276</v>
      </c>
      <c r="D79" s="103" t="s">
        <v>111</v>
      </c>
      <c r="E79" s="103">
        <v>0.01</v>
      </c>
      <c r="F79" s="104"/>
      <c r="G79" s="105">
        <f t="shared" ref="G79:G84" si="4">IF(E79&gt;0,IF(F79/E79&lt;1,0,(F79/E79)),)</f>
        <v>0</v>
      </c>
      <c r="H79" s="106"/>
      <c r="I79" s="60"/>
    </row>
    <row r="80" spans="2:9" x14ac:dyDescent="0.3">
      <c r="B80" s="4"/>
      <c r="C80" s="111" t="s">
        <v>277</v>
      </c>
      <c r="D80" s="103" t="s">
        <v>111</v>
      </c>
      <c r="E80" s="103">
        <v>0.1</v>
      </c>
      <c r="F80" s="104"/>
      <c r="G80" s="105">
        <f t="shared" si="4"/>
        <v>0</v>
      </c>
      <c r="H80" s="106"/>
      <c r="I80" s="60"/>
    </row>
    <row r="81" spans="2:9" x14ac:dyDescent="0.3">
      <c r="B81" s="4"/>
      <c r="C81" s="111" t="s">
        <v>278</v>
      </c>
      <c r="D81" s="103" t="s">
        <v>111</v>
      </c>
      <c r="E81" s="103">
        <v>1</v>
      </c>
      <c r="F81" s="104"/>
      <c r="G81" s="105">
        <f t="shared" si="4"/>
        <v>0</v>
      </c>
      <c r="H81" s="106"/>
      <c r="I81" s="60"/>
    </row>
    <row r="82" spans="2:9" x14ac:dyDescent="0.3">
      <c r="B82" s="4"/>
      <c r="C82" s="111" t="s">
        <v>279</v>
      </c>
      <c r="D82" s="103" t="s">
        <v>111</v>
      </c>
      <c r="E82" s="103">
        <v>20</v>
      </c>
      <c r="F82" s="104"/>
      <c r="G82" s="105">
        <f t="shared" si="4"/>
        <v>0</v>
      </c>
      <c r="H82" s="106"/>
      <c r="I82" s="60"/>
    </row>
    <row r="83" spans="2:9" x14ac:dyDescent="0.3">
      <c r="B83" s="4"/>
      <c r="C83" s="111" t="s">
        <v>280</v>
      </c>
      <c r="D83" s="103" t="s">
        <v>111</v>
      </c>
      <c r="E83" s="103">
        <v>100</v>
      </c>
      <c r="F83" s="104"/>
      <c r="G83" s="105">
        <f t="shared" si="4"/>
        <v>0</v>
      </c>
      <c r="H83" s="106"/>
      <c r="I83" s="60"/>
    </row>
    <row r="84" spans="2:9" x14ac:dyDescent="0.3">
      <c r="B84" s="4"/>
      <c r="C84" s="111"/>
      <c r="D84" s="103" t="s">
        <v>111</v>
      </c>
      <c r="E84" s="103"/>
      <c r="F84" s="104"/>
      <c r="G84" s="105">
        <f t="shared" si="4"/>
        <v>0</v>
      </c>
      <c r="H84" s="106"/>
      <c r="I84" s="60"/>
    </row>
    <row r="85" spans="2:9" ht="35.25" customHeight="1" x14ac:dyDescent="0.3">
      <c r="B85" s="4"/>
      <c r="C85" s="857" t="s">
        <v>284</v>
      </c>
      <c r="D85" s="858"/>
      <c r="E85" s="858"/>
      <c r="F85" s="858"/>
      <c r="G85" s="858"/>
      <c r="H85" s="859"/>
      <c r="I85" s="60"/>
    </row>
    <row r="86" spans="2:9" x14ac:dyDescent="0.3">
      <c r="B86" s="4"/>
      <c r="C86" s="102" t="s">
        <v>83</v>
      </c>
      <c r="D86" s="103" t="s">
        <v>83</v>
      </c>
      <c r="E86" s="112" t="s">
        <v>83</v>
      </c>
      <c r="F86" s="104"/>
      <c r="G86" s="105">
        <v>0</v>
      </c>
      <c r="H86" s="106"/>
      <c r="I86" s="60"/>
    </row>
    <row r="87" spans="2:9" x14ac:dyDescent="0.3">
      <c r="B87" s="4"/>
      <c r="C87" s="102" t="s">
        <v>83</v>
      </c>
      <c r="D87" s="103" t="s">
        <v>83</v>
      </c>
      <c r="E87" s="112" t="s">
        <v>83</v>
      </c>
      <c r="F87" s="104"/>
      <c r="G87" s="105">
        <v>0</v>
      </c>
      <c r="H87" s="106"/>
      <c r="I87" s="60"/>
    </row>
    <row r="88" spans="2:9" x14ac:dyDescent="0.3">
      <c r="B88" s="4"/>
      <c r="C88" s="102" t="s">
        <v>83</v>
      </c>
      <c r="D88" s="103" t="s">
        <v>83</v>
      </c>
      <c r="E88" s="112" t="s">
        <v>83</v>
      </c>
      <c r="F88" s="104"/>
      <c r="G88" s="105">
        <v>0</v>
      </c>
      <c r="H88" s="106"/>
      <c r="I88" s="60"/>
    </row>
    <row r="89" spans="2:9" x14ac:dyDescent="0.3">
      <c r="B89" s="4"/>
      <c r="C89" s="102" t="s">
        <v>83</v>
      </c>
      <c r="D89" s="103" t="s">
        <v>83</v>
      </c>
      <c r="E89" s="112" t="s">
        <v>83</v>
      </c>
      <c r="F89" s="104"/>
      <c r="G89" s="105">
        <v>0</v>
      </c>
      <c r="H89" s="106"/>
      <c r="I89" s="60"/>
    </row>
    <row r="90" spans="2:9" x14ac:dyDescent="0.3">
      <c r="B90" s="4"/>
      <c r="C90" s="128"/>
      <c r="D90" s="129"/>
      <c r="E90" s="850" t="s">
        <v>94</v>
      </c>
      <c r="F90" s="851"/>
      <c r="G90" s="105">
        <f>SUM(G8:G89)</f>
        <v>0</v>
      </c>
      <c r="H90" s="130"/>
      <c r="I90" s="60"/>
    </row>
    <row r="91" spans="2:9" x14ac:dyDescent="0.3">
      <c r="B91" s="4"/>
      <c r="C91" s="56"/>
      <c r="D91" s="131"/>
      <c r="E91" s="132" t="s">
        <v>281</v>
      </c>
      <c r="F91" s="132"/>
      <c r="G91" s="133">
        <v>0.33</v>
      </c>
      <c r="H91" s="134" t="s">
        <v>282</v>
      </c>
      <c r="I91" s="60"/>
    </row>
    <row r="92" spans="2:9" x14ac:dyDescent="0.3">
      <c r="B92" s="419"/>
      <c r="C92" s="420"/>
      <c r="D92" s="142"/>
      <c r="E92" s="852" t="s">
        <v>283</v>
      </c>
      <c r="F92" s="853"/>
      <c r="G92" s="115">
        <f>G90*G91</f>
        <v>0</v>
      </c>
      <c r="H92" s="421"/>
      <c r="I92" s="422"/>
    </row>
  </sheetData>
  <sheetProtection algorithmName="SHA-512" hashValue="+e2PyDt8X/x5UXOC2P2e9dzNowJRWdpJJzLuKbCtBmYexeSkk6WY+RtUXr1VHEKNxQb2iBvKauJT22tcrewiYA==" saltValue="mvcGhYQKKQ7jCjORv/kyRQ==" spinCount="100000" sheet="1" objects="1" scenarios="1"/>
  <mergeCells count="9">
    <mergeCell ref="E90:F90"/>
    <mergeCell ref="E92:F92"/>
    <mergeCell ref="C6:E6"/>
    <mergeCell ref="B2:I2"/>
    <mergeCell ref="D4:E4"/>
    <mergeCell ref="F4:H5"/>
    <mergeCell ref="D5:E5"/>
    <mergeCell ref="C76:F76"/>
    <mergeCell ref="C85:H85"/>
  </mergeCells>
  <dataValidations count="3">
    <dataValidation type="custom" showInputMessage="1" showErrorMessage="1" errorTitle="Additional Substances" error="A substance name must be entered before you can enter an emission value in here" promptTitle="Additional Substances" prompt="Please enter a substance name before entering an emission value" sqref="F79:F84" xr:uid="{8A10A2CB-AF94-4617-8743-F0E3485802AB}">
      <formula1>ISBLANK(C79) = FALSE</formula1>
    </dataValidation>
    <dataValidation type="custom" showInputMessage="1" showErrorMessage="1" errorTitle="Substance Notes" error="Notes can only be entered against substances that have an emission value and must not exceed 300 characters in length" promptTitle="Substance Notes" prompt="Only enter notes against substances that have an emission value.  Notes are restricted to 300 characters (40-50 words)" sqref="H8:H17 H19:H34 H36:H39 H41:H61 H63:H74 H77:H84 H86:H89" xr:uid="{57DB6EA3-A032-47E4-925C-74FC1E737474}">
      <formula1>ISBLANK(F8) + (LEN(H8) &gt; 300)=0</formula1>
    </dataValidation>
    <dataValidation type="decimal" allowBlank="1" showInputMessage="1" showErrorMessage="1" errorTitle="Emission Quantity" error="Emission quantity is outside the acceptable range. Only enter emissions if they are above the threshold given in the preceeding column. If your emission is very high, check that you have used the correct units." promptTitle="Emission Quantity" prompt="Only enter emissions if they are above the threshold given in the preceeding column. Emissions below this are not taken into account in your EP OPRA Profile." sqref="F8:F17 F19:F34 F36:F39 F41:F61 F63:F74 F77:F78" xr:uid="{4D69C7A8-DD2D-4AAE-8E9C-087E49AAAE6F}">
      <formula1>E8</formula1>
      <formula2>E8*10000000</formula2>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0" r:id="rId3" name="Check Box 10">
              <controlPr defaultSize="0" autoFill="0" autoLine="0" autoPict="0">
                <anchor moveWithCells="1">
                  <from>
                    <xdr:col>5</xdr:col>
                    <xdr:colOff>106680</xdr:colOff>
                    <xdr:row>5</xdr:row>
                    <xdr:rowOff>175260</xdr:rowOff>
                  </from>
                  <to>
                    <xdr:col>6</xdr:col>
                    <xdr:colOff>175260</xdr:colOff>
                    <xdr:row>5</xdr:row>
                    <xdr:rowOff>381000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78499d3b-94a8-4059-8763-489d4400b14a" ContentTypeId="0x01010067EB80C5FE939D4A9B3D8BA62129B7F502" PreviousValue="false" LastSyncTimeStamp="2015-02-19T08:45:00.1Z"/>
</file>

<file path=customXml/item4.xml><?xml version="1.0" encoding="utf-8"?>
<ct:contentTypeSchema xmlns:ct="http://schemas.microsoft.com/office/2006/metadata/contentType" xmlns:ma="http://schemas.microsoft.com/office/2006/metadata/properties/metaAttributes" ct:_="" ma:_="" ma:contentTypeName="NRW Excel Document" ma:contentTypeID="0x01010067EB80C5FE939D4A9B3D8BA62129B7F50200E9CFCCC36D8EA04592A023A1E2138FF7" ma:contentTypeVersion="64" ma:contentTypeDescription="" ma:contentTypeScope="" ma:versionID="367f994dcb4193d8f0b6ed4d94ba3134">
  <xsd:schema xmlns:xsd="http://www.w3.org/2001/XMLSchema" xmlns:xs="http://www.w3.org/2001/XMLSchema" xmlns:p="http://schemas.microsoft.com/office/2006/metadata/properties" xmlns:ns2="9be56660-2c31-41ef-bc00-23e72f632f2a" targetNamespace="http://schemas.microsoft.com/office/2006/metadata/properties" ma:root="true" ma:fieldsID="49da0bbf7d116c7367815fab54ec06ef"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_dlc_DocId xmlns="9be56660-2c31-41ef-bc00-23e72f632f2a">MANA-1973704451-273</_dlc_DocId>
    <_dlc_DocIdUrl xmlns="9be56660-2c31-41ef-bc00-23e72f632f2a">
      <Url>https://cyfoethnaturiolcymru.sharepoint.com/teams/manbus/ManagingRegionsAndGroups/hbreksp/_layouts/15/DocIdRedir.aspx?ID=MANA-1973704451-273</Url>
      <Description>MANA-1973704451-273</Description>
    </_dlc_DocIdUrl>
  </documentManagement>
</p:properties>
</file>

<file path=customXml/itemProps1.xml><?xml version="1.0" encoding="utf-8"?>
<ds:datastoreItem xmlns:ds="http://schemas.openxmlformats.org/officeDocument/2006/customXml" ds:itemID="{D3C95FFE-B139-4776-BEBB-A53539DDB3CA}">
  <ds:schemaRefs>
    <ds:schemaRef ds:uri="http://schemas.microsoft.com/sharepoint/v3/contenttype/forms"/>
  </ds:schemaRefs>
</ds:datastoreItem>
</file>

<file path=customXml/itemProps2.xml><?xml version="1.0" encoding="utf-8"?>
<ds:datastoreItem xmlns:ds="http://schemas.openxmlformats.org/officeDocument/2006/customXml" ds:itemID="{46D40EE6-F8D4-463E-8F7F-E58374DB3E3B}">
  <ds:schemaRefs>
    <ds:schemaRef ds:uri="http://schemas.microsoft.com/sharepoint/events"/>
  </ds:schemaRefs>
</ds:datastoreItem>
</file>

<file path=customXml/itemProps3.xml><?xml version="1.0" encoding="utf-8"?>
<ds:datastoreItem xmlns:ds="http://schemas.openxmlformats.org/officeDocument/2006/customXml" ds:itemID="{3642D1AC-3144-43EB-9DA7-F6A3AE76975C}">
  <ds:schemaRefs>
    <ds:schemaRef ds:uri="Microsoft.SharePoint.Taxonomy.ContentTypeSync"/>
  </ds:schemaRefs>
</ds:datastoreItem>
</file>

<file path=customXml/itemProps4.xml><?xml version="1.0" encoding="utf-8"?>
<ds:datastoreItem xmlns:ds="http://schemas.openxmlformats.org/officeDocument/2006/customXml" ds:itemID="{2090067E-AF7B-43BA-943C-4E13B4722B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845B5C51-60FC-4021-B870-3A5643A34C58}">
  <ds:schemaRefs>
    <ds:schemaRef ds:uri="http://purl.org/dc/elements/1.1/"/>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9be56660-2c31-41ef-bc00-23e72f632f2a"/>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12</vt:i4>
      </vt:variant>
    </vt:vector>
  </HeadingPairs>
  <TitlesOfParts>
    <vt:vector size="28" baseType="lpstr">
      <vt:lpstr>Guidance - please read</vt:lpstr>
      <vt:lpstr>Introduction</vt:lpstr>
      <vt:lpstr>1 Listed activity</vt:lpstr>
      <vt:lpstr>2 Other activities</vt:lpstr>
      <vt:lpstr>3 Complexities</vt:lpstr>
      <vt:lpstr>4 Air</vt:lpstr>
      <vt:lpstr>5 Water</vt:lpstr>
      <vt:lpstr>6 Land</vt:lpstr>
      <vt:lpstr>7 Sewer</vt:lpstr>
      <vt:lpstr>8 Waste</vt:lpstr>
      <vt:lpstr>9 Emissions summary</vt:lpstr>
      <vt:lpstr>10 Location</vt:lpstr>
      <vt:lpstr>11 Operator performance</vt:lpstr>
      <vt:lpstr>12 EP Summary</vt:lpstr>
      <vt:lpstr>13 Calculation</vt:lpstr>
      <vt:lpstr>Picklists</vt:lpstr>
      <vt:lpstr>category</vt:lpstr>
      <vt:lpstr>DAA</vt:lpstr>
      <vt:lpstr>DAA_Waste</vt:lpstr>
      <vt:lpstr>MCP</vt:lpstr>
      <vt:lpstr>MCP_and_SG</vt:lpstr>
      <vt:lpstr>No</vt:lpstr>
      <vt:lpstr>Operator</vt:lpstr>
      <vt:lpstr>PartA2</vt:lpstr>
      <vt:lpstr>PartB</vt:lpstr>
      <vt:lpstr>PartB_MCP_and_or_SG</vt:lpstr>
      <vt:lpstr>SG</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Potts, Shaun</dc:creator>
  <cp:lastModifiedBy>shaun.potts</cp:lastModifiedBy>
  <dcterms:created xsi:type="dcterms:W3CDTF">2022-08-19T07:52:48Z</dcterms:created>
  <dcterms:modified xsi:type="dcterms:W3CDTF">2024-01-25T11:44:14Z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0x01010067EB80C5FE939D4A9B3D8BA62129B7F50200E9CFCCC36D8EA04592A023A1E2138FF7</vt:lpwstr>
  </property>
  <property fmtid="{D5CDD505-2E9C-101B-9397-08002B2CF9AE}" pid="3" name="_dlc_DocIdItemGuid">
    <vt:lpwstr>43c1de40-6b0b-47b1-bb07-c24d80913682</vt:lpwstr>
  </property>
</Properties>
</file>