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yfoethnaturiolcymru-my.sharepoint.com/personal/shaun_potts_cyfoethnaturiolcymru_gov_uk/Documents/Documents/"/>
    </mc:Choice>
  </mc:AlternateContent>
  <xr:revisionPtr revIDLastSave="0" documentId="8_{CF9E79FC-434A-4CC5-AA14-9470A447904D}" xr6:coauthVersionLast="47" xr6:coauthVersionMax="47" xr10:uidLastSave="{00000000-0000-0000-0000-000000000000}"/>
  <bookViews>
    <workbookView xWindow="-108" yWindow="-108" windowWidth="23256" windowHeight="12576" firstSheet="1" activeTab="1" xr2:uid="{00000000-000D-0000-FFFF-FFFF00000000}"/>
  </bookViews>
  <sheets>
    <sheet name="Canllawiau" sheetId="26" r:id="rId1"/>
    <sheet name="Cyflwyniad" sheetId="1" r:id="rId2"/>
    <sheet name="Gweithgareddau rhestredig" sheetId="3" r:id="rId3"/>
    <sheet name="Gweithgareddau eraill" sheetId="4" r:id="rId4"/>
    <sheet name="Cais newydd" sheetId="18" r:id="rId5"/>
    <sheet name="Picklists" sheetId="2" state="hidden" r:id="rId6"/>
  </sheets>
  <definedNames>
    <definedName name="category">Picklists!$N$3:$T$3</definedName>
    <definedName name="Cyfarpar_Hylosgi_Canolig">Picklists!$T$4:$T$4</definedName>
    <definedName name="Cyfarpar_Hylosgi_Canolig_a_Generaduron_Penodedig">Picklists!$R$4:$R$6</definedName>
    <definedName name="Generaduron_penodedig">Picklists!$S$4:$S$4</definedName>
    <definedName name="Gweithgareddau_gwastraff_uniongyrchol_gysylltiedig">Picklists!$Q$4:$Q$5</definedName>
    <definedName name="No">Picklists!$AG$3</definedName>
    <definedName name="Operator">Picklists!$AF$2:$AG$2</definedName>
    <definedName name="Rhan_A2">Picklists!$N$4:$N$24</definedName>
    <definedName name="Rhan_B">Picklists!$O$4:$O$74</definedName>
    <definedName name="RhanB_CHC_a_neu_EP">Picklists!$P$4:$P$9</definedName>
    <definedName name="Yes">Picklists!$AF$3:$AF$4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0" i="18" l="1"/>
  <c r="F16" i="1" l="1"/>
  <c r="E16" i="1"/>
  <c r="D16" i="1"/>
  <c r="C16" i="1"/>
  <c r="E2" i="4" l="1"/>
  <c r="C2" i="3"/>
  <c r="C3" i="1"/>
  <c r="C13" i="1" s="1"/>
  <c r="C2" i="26"/>
  <c r="I26" i="1"/>
  <c r="I44" i="18"/>
  <c r="I42" i="18"/>
  <c r="H52" i="18" l="1"/>
  <c r="H53" i="18"/>
  <c r="H54" i="18"/>
  <c r="H55" i="18"/>
  <c r="H56" i="18"/>
  <c r="H57" i="18"/>
  <c r="H58" i="18"/>
  <c r="H51" i="18"/>
  <c r="I52" i="18"/>
  <c r="I53" i="18"/>
  <c r="I54" i="18"/>
  <c r="I55" i="18"/>
  <c r="I56" i="18"/>
  <c r="I57" i="18"/>
  <c r="I58" i="18"/>
  <c r="I51" i="18"/>
  <c r="R11" i="3"/>
  <c r="R12" i="3"/>
  <c r="R13" i="3"/>
  <c r="R14" i="3"/>
  <c r="R15" i="3"/>
  <c r="R16" i="3"/>
  <c r="R17" i="3"/>
  <c r="R18" i="3"/>
  <c r="R19" i="3"/>
  <c r="R20" i="3"/>
  <c r="R21" i="3"/>
  <c r="R22" i="3"/>
  <c r="R23" i="3"/>
  <c r="R24" i="3"/>
  <c r="R25" i="3"/>
  <c r="R26" i="3"/>
  <c r="R27" i="3"/>
  <c r="R28" i="3"/>
  <c r="R29" i="3"/>
  <c r="R30" i="3"/>
  <c r="R31" i="3"/>
  <c r="R32" i="3"/>
  <c r="R33" i="3"/>
  <c r="R34" i="3"/>
  <c r="R10" i="3"/>
  <c r="F43" i="18"/>
  <c r="J43" i="18" s="1"/>
  <c r="M43" i="18" s="1"/>
  <c r="F42" i="18"/>
  <c r="J42" i="18" s="1"/>
  <c r="M42" i="18" s="1"/>
  <c r="F41" i="18"/>
  <c r="J41" i="18" s="1"/>
  <c r="I11" i="3"/>
  <c r="I12" i="3"/>
  <c r="I13" i="3"/>
  <c r="I14" i="3"/>
  <c r="I15" i="3"/>
  <c r="I16" i="3"/>
  <c r="I17" i="3"/>
  <c r="I18" i="3"/>
  <c r="S18" i="3" s="1"/>
  <c r="I19" i="3"/>
  <c r="I20" i="3"/>
  <c r="S20" i="3" s="1"/>
  <c r="I21" i="3"/>
  <c r="I22" i="3"/>
  <c r="I23" i="3"/>
  <c r="I24" i="3"/>
  <c r="S24" i="3" s="1"/>
  <c r="I25" i="3"/>
  <c r="I26" i="3"/>
  <c r="S26" i="3" s="1"/>
  <c r="I27" i="3"/>
  <c r="I28" i="3"/>
  <c r="S28" i="3" s="1"/>
  <c r="I29" i="3"/>
  <c r="I30" i="3"/>
  <c r="I31" i="3"/>
  <c r="I32" i="3"/>
  <c r="I33" i="3"/>
  <c r="I34" i="3"/>
  <c r="I10" i="3"/>
  <c r="N12" i="3"/>
  <c r="N13" i="3"/>
  <c r="N14" i="3"/>
  <c r="N15" i="3"/>
  <c r="N16" i="3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32" i="3"/>
  <c r="N33" i="3"/>
  <c r="N34" i="3"/>
  <c r="N10" i="3"/>
  <c r="H61" i="18"/>
  <c r="E61" i="18" s="1"/>
  <c r="M58" i="18"/>
  <c r="M57" i="18"/>
  <c r="M56" i="18"/>
  <c r="M55" i="18"/>
  <c r="M54" i="18"/>
  <c r="M53" i="18"/>
  <c r="M52" i="18"/>
  <c r="M51" i="18"/>
  <c r="G34" i="18"/>
  <c r="I34" i="18" s="1"/>
  <c r="G33" i="18"/>
  <c r="I32" i="18" s="1"/>
  <c r="G32" i="18"/>
  <c r="K27" i="18"/>
  <c r="K22" i="18"/>
  <c r="I10" i="18"/>
  <c r="K10" i="18" s="1"/>
  <c r="E7" i="18"/>
  <c r="E6" i="18"/>
  <c r="I32" i="4"/>
  <c r="C32" i="4"/>
  <c r="B32" i="4"/>
  <c r="I31" i="4"/>
  <c r="C31" i="4"/>
  <c r="B31" i="4"/>
  <c r="I30" i="4"/>
  <c r="C30" i="4"/>
  <c r="B30" i="4"/>
  <c r="I29" i="4"/>
  <c r="C29" i="4"/>
  <c r="B29" i="4"/>
  <c r="I28" i="4"/>
  <c r="C28" i="4"/>
  <c r="B28" i="4"/>
  <c r="I27" i="4"/>
  <c r="C27" i="4"/>
  <c r="B27" i="4"/>
  <c r="I26" i="4"/>
  <c r="C26" i="4"/>
  <c r="B26" i="4"/>
  <c r="I25" i="4"/>
  <c r="C25" i="4"/>
  <c r="B25" i="4"/>
  <c r="I24" i="4"/>
  <c r="C24" i="4"/>
  <c r="B24" i="4"/>
  <c r="I23" i="4"/>
  <c r="C23" i="4"/>
  <c r="B23" i="4"/>
  <c r="I22" i="4"/>
  <c r="C22" i="4"/>
  <c r="B22" i="4"/>
  <c r="I21" i="4"/>
  <c r="C21" i="4"/>
  <c r="B21" i="4"/>
  <c r="I20" i="4"/>
  <c r="C20" i="4"/>
  <c r="B20" i="4"/>
  <c r="I19" i="4"/>
  <c r="C19" i="4"/>
  <c r="B19" i="4"/>
  <c r="I18" i="4"/>
  <c r="C18" i="4"/>
  <c r="B18" i="4"/>
  <c r="I17" i="4"/>
  <c r="C17" i="4"/>
  <c r="B17" i="4"/>
  <c r="I16" i="4"/>
  <c r="C16" i="4"/>
  <c r="B16" i="4"/>
  <c r="I15" i="4"/>
  <c r="C15" i="4"/>
  <c r="B15" i="4"/>
  <c r="I14" i="4"/>
  <c r="C14" i="4"/>
  <c r="B14" i="4"/>
  <c r="I13" i="4"/>
  <c r="C13" i="4"/>
  <c r="B13" i="4"/>
  <c r="G7" i="4"/>
  <c r="G6" i="4"/>
  <c r="W34" i="3"/>
  <c r="Q34" i="3"/>
  <c r="P34" i="3"/>
  <c r="O34" i="3"/>
  <c r="M34" i="3"/>
  <c r="K34" i="3"/>
  <c r="L34" i="3" s="1"/>
  <c r="J34" i="3"/>
  <c r="S34" i="3"/>
  <c r="G34" i="3"/>
  <c r="W33" i="3"/>
  <c r="O33" i="3" s="1"/>
  <c r="Q33" i="3"/>
  <c r="P33" i="3"/>
  <c r="M33" i="3"/>
  <c r="L33" i="3"/>
  <c r="K33" i="3"/>
  <c r="J33" i="3"/>
  <c r="S33" i="3"/>
  <c r="G33" i="3"/>
  <c r="W32" i="3"/>
  <c r="S32" i="3"/>
  <c r="Q32" i="3"/>
  <c r="P32" i="3"/>
  <c r="O32" i="3"/>
  <c r="M32" i="3"/>
  <c r="K32" i="3"/>
  <c r="L32" i="3" s="1"/>
  <c r="J32" i="3"/>
  <c r="G32" i="3"/>
  <c r="W31" i="3"/>
  <c r="Q31" i="3"/>
  <c r="P31" i="3"/>
  <c r="M31" i="3"/>
  <c r="L31" i="3"/>
  <c r="K31" i="3"/>
  <c r="J31" i="3"/>
  <c r="G31" i="3"/>
  <c r="W30" i="3"/>
  <c r="Q30" i="3"/>
  <c r="P30" i="3"/>
  <c r="O30" i="3"/>
  <c r="M30" i="3"/>
  <c r="K30" i="3"/>
  <c r="L30" i="3" s="1"/>
  <c r="J30" i="3"/>
  <c r="S30" i="3"/>
  <c r="G30" i="3"/>
  <c r="W29" i="3"/>
  <c r="O29" i="3" s="1"/>
  <c r="Q29" i="3"/>
  <c r="P29" i="3"/>
  <c r="M29" i="3"/>
  <c r="L29" i="3"/>
  <c r="K29" i="3"/>
  <c r="J29" i="3"/>
  <c r="S29" i="3"/>
  <c r="G29" i="3"/>
  <c r="W28" i="3"/>
  <c r="Q28" i="3"/>
  <c r="P28" i="3"/>
  <c r="O28" i="3"/>
  <c r="M28" i="3"/>
  <c r="K28" i="3"/>
  <c r="L28" i="3" s="1"/>
  <c r="J28" i="3"/>
  <c r="G28" i="3"/>
  <c r="W27" i="3"/>
  <c r="Q27" i="3"/>
  <c r="P27" i="3"/>
  <c r="M27" i="3"/>
  <c r="L27" i="3"/>
  <c r="K27" i="3"/>
  <c r="J27" i="3"/>
  <c r="G27" i="3"/>
  <c r="W26" i="3"/>
  <c r="Q26" i="3"/>
  <c r="P26" i="3"/>
  <c r="O26" i="3"/>
  <c r="M26" i="3"/>
  <c r="K26" i="3"/>
  <c r="L26" i="3" s="1"/>
  <c r="J26" i="3"/>
  <c r="G26" i="3"/>
  <c r="W25" i="3"/>
  <c r="O25" i="3" s="1"/>
  <c r="Q25" i="3"/>
  <c r="P25" i="3"/>
  <c r="M25" i="3"/>
  <c r="L25" i="3"/>
  <c r="K25" i="3"/>
  <c r="J25" i="3"/>
  <c r="S25" i="3"/>
  <c r="G25" i="3"/>
  <c r="W24" i="3"/>
  <c r="Q24" i="3"/>
  <c r="P24" i="3"/>
  <c r="O24" i="3"/>
  <c r="M24" i="3"/>
  <c r="K24" i="3"/>
  <c r="L24" i="3" s="1"/>
  <c r="J24" i="3"/>
  <c r="G24" i="3"/>
  <c r="W23" i="3"/>
  <c r="Q23" i="3"/>
  <c r="P23" i="3"/>
  <c r="M23" i="3"/>
  <c r="L23" i="3"/>
  <c r="K23" i="3"/>
  <c r="J23" i="3"/>
  <c r="G23" i="3"/>
  <c r="W22" i="3"/>
  <c r="Q22" i="3"/>
  <c r="P22" i="3"/>
  <c r="O22" i="3"/>
  <c r="M22" i="3"/>
  <c r="K22" i="3"/>
  <c r="L22" i="3" s="1"/>
  <c r="J22" i="3"/>
  <c r="S22" i="3"/>
  <c r="G22" i="3"/>
  <c r="W21" i="3"/>
  <c r="O21" i="3" s="1"/>
  <c r="Q21" i="3"/>
  <c r="P21" i="3"/>
  <c r="M21" i="3"/>
  <c r="L21" i="3"/>
  <c r="K21" i="3"/>
  <c r="J21" i="3"/>
  <c r="S21" i="3"/>
  <c r="G21" i="3"/>
  <c r="W20" i="3"/>
  <c r="Q20" i="3"/>
  <c r="P20" i="3"/>
  <c r="O20" i="3"/>
  <c r="M20" i="3"/>
  <c r="K20" i="3"/>
  <c r="L20" i="3" s="1"/>
  <c r="J20" i="3"/>
  <c r="G20" i="3"/>
  <c r="W19" i="3"/>
  <c r="Q19" i="3"/>
  <c r="P19" i="3"/>
  <c r="M19" i="3"/>
  <c r="L19" i="3"/>
  <c r="K19" i="3"/>
  <c r="J19" i="3"/>
  <c r="G19" i="3"/>
  <c r="W18" i="3"/>
  <c r="Q18" i="3"/>
  <c r="P18" i="3"/>
  <c r="O18" i="3"/>
  <c r="M18" i="3"/>
  <c r="K18" i="3"/>
  <c r="L18" i="3" s="1"/>
  <c r="J18" i="3"/>
  <c r="G18" i="3"/>
  <c r="W17" i="3"/>
  <c r="O17" i="3" s="1"/>
  <c r="Q17" i="3"/>
  <c r="P17" i="3"/>
  <c r="M17" i="3"/>
  <c r="L17" i="3"/>
  <c r="K17" i="3"/>
  <c r="J17" i="3"/>
  <c r="S17" i="3"/>
  <c r="G17" i="3"/>
  <c r="W16" i="3"/>
  <c r="Q16" i="3"/>
  <c r="P16" i="3"/>
  <c r="O16" i="3"/>
  <c r="M16" i="3"/>
  <c r="K16" i="3"/>
  <c r="L16" i="3" s="1"/>
  <c r="J16" i="3"/>
  <c r="S16" i="3"/>
  <c r="G16" i="3"/>
  <c r="W15" i="3"/>
  <c r="Q15" i="3"/>
  <c r="P15" i="3"/>
  <c r="O15" i="3"/>
  <c r="M15" i="3"/>
  <c r="K15" i="3"/>
  <c r="L15" i="3" s="1"/>
  <c r="J15" i="3"/>
  <c r="S15" i="3"/>
  <c r="G15" i="3"/>
  <c r="T15" i="3" s="1"/>
  <c r="W14" i="3"/>
  <c r="Q14" i="3"/>
  <c r="P14" i="3"/>
  <c r="O14" i="3"/>
  <c r="M14" i="3"/>
  <c r="K14" i="3"/>
  <c r="L14" i="3" s="1"/>
  <c r="J14" i="3"/>
  <c r="S14" i="3"/>
  <c r="G14" i="3"/>
  <c r="T14" i="3" s="1"/>
  <c r="W13" i="3"/>
  <c r="O13" i="3" s="1"/>
  <c r="Q13" i="3"/>
  <c r="P13" i="3"/>
  <c r="M13" i="3"/>
  <c r="L13" i="3"/>
  <c r="K13" i="3"/>
  <c r="J13" i="3"/>
  <c r="G13" i="3"/>
  <c r="W12" i="3"/>
  <c r="Q12" i="3"/>
  <c r="P12" i="3"/>
  <c r="O12" i="3"/>
  <c r="M12" i="3"/>
  <c r="K12" i="3"/>
  <c r="L12" i="3" s="1"/>
  <c r="J12" i="3"/>
  <c r="S12" i="3"/>
  <c r="G12" i="3"/>
  <c r="W11" i="3"/>
  <c r="O11" i="3" s="1"/>
  <c r="Q11" i="3"/>
  <c r="P11" i="3"/>
  <c r="M11" i="3"/>
  <c r="K11" i="3"/>
  <c r="L11" i="3" s="1"/>
  <c r="J11" i="3"/>
  <c r="G11" i="3"/>
  <c r="W10" i="3"/>
  <c r="O10" i="3" s="1"/>
  <c r="Q10" i="3"/>
  <c r="P10" i="3"/>
  <c r="M10" i="3"/>
  <c r="K10" i="3"/>
  <c r="L10" i="3" s="1"/>
  <c r="J10" i="3"/>
  <c r="G10" i="3"/>
  <c r="D7" i="3"/>
  <c r="D6" i="3"/>
  <c r="N11" i="3" l="1"/>
  <c r="M59" i="18"/>
  <c r="M15" i="1" s="1"/>
  <c r="K34" i="18"/>
  <c r="F12" i="4"/>
  <c r="H46" i="18" s="1"/>
  <c r="E46" i="18" s="1"/>
  <c r="S11" i="3"/>
  <c r="R8" i="3" s="1"/>
  <c r="H18" i="18" s="1"/>
  <c r="E18" i="18" s="1"/>
  <c r="H12" i="4"/>
  <c r="M41" i="18"/>
  <c r="P8" i="3"/>
  <c r="H17" i="18" s="1"/>
  <c r="E17" i="18" s="1"/>
  <c r="S23" i="3"/>
  <c r="O23" i="3"/>
  <c r="S31" i="3"/>
  <c r="O31" i="3"/>
  <c r="G15" i="18"/>
  <c r="I15" i="18" s="1"/>
  <c r="S10" i="3"/>
  <c r="S13" i="3"/>
  <c r="G14" i="18"/>
  <c r="I14" i="18" s="1"/>
  <c r="H60" i="18" a="1"/>
  <c r="H60" i="18" s="1"/>
  <c r="E60" i="18" s="1"/>
  <c r="G11" i="18" a="1"/>
  <c r="G11" i="18" s="1"/>
  <c r="I11" i="18" s="1"/>
  <c r="K11" i="18" s="1"/>
  <c r="S19" i="3"/>
  <c r="O19" i="3"/>
  <c r="S27" i="3"/>
  <c r="O27" i="3"/>
  <c r="J18" i="18"/>
  <c r="R29" i="18" s="1"/>
  <c r="F44" i="18" l="1"/>
  <c r="J44" i="18" s="1"/>
  <c r="M44" i="18" s="1"/>
  <c r="M45" i="18" s="1"/>
  <c r="M14" i="1" s="1"/>
  <c r="M36" i="18"/>
  <c r="M37" i="18" s="1"/>
  <c r="K23" i="18"/>
  <c r="K24" i="18" s="1"/>
  <c r="K25" i="18" s="1"/>
  <c r="K26" i="18" s="1"/>
  <c r="K28" i="18" s="1"/>
  <c r="H47" i="18"/>
  <c r="E47" i="18" s="1"/>
  <c r="I12" i="18"/>
  <c r="K12" i="18" s="1"/>
  <c r="K18" i="18" s="1"/>
  <c r="L11" i="1" l="1"/>
  <c r="K29" i="18"/>
  <c r="K37" i="18"/>
  <c r="K64" i="18" s="1"/>
  <c r="M13" i="1"/>
  <c r="M66" i="18" l="1"/>
  <c r="M17" i="1" s="1"/>
  <c r="M64" i="18"/>
  <c r="M16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Alison.Soper</author>
  </authors>
  <commentList>
    <comment ref="F9" authorId="0" shapeId="0" xr:uid="{00000000-0006-0000-0200-000001000000}">
      <text>
        <r>
          <rPr>
            <sz val="9"/>
            <rFont val="Tahoma"/>
            <family val="2"/>
          </rPr>
          <t xml:space="preserve">Ai dyma'r prif weithgaredd a reoleiddir ar gyfer eich safle?
</t>
        </r>
      </text>
    </comment>
    <comment ref="H9" authorId="0" shapeId="0" xr:uid="{00000000-0006-0000-0200-000002000000}">
      <text>
        <r>
          <rPr>
            <sz val="9"/>
            <rFont val="Tahoma"/>
            <family val="2"/>
          </rPr>
          <t xml:space="preserve">Mewnbynnwch uchafswm y capasiti gweithredol ar gyfer y gweithgaredd.
</t>
        </r>
      </text>
    </comment>
    <comment ref="N9" authorId="0" shapeId="0" xr:uid="{00000000-0006-0000-0200-000003000000}">
      <text>
        <r>
          <rPr>
            <sz val="9"/>
            <rFont val="Tahoma"/>
            <family val="2"/>
          </rPr>
          <t xml:space="preserve">Mae RhDG yn berthnasol i rai gweithgareddau gwastraff pan mai nhw yw'r prif weithgaredd ar y Gosodiad
</t>
        </r>
      </text>
    </comment>
    <comment ref="R11" authorId="0" shapeId="0" xr:uid="{00000000-0006-0000-0200-000004000000}">
      <text>
        <r>
          <rPr>
            <b/>
            <sz val="9"/>
            <rFont val="Tahoma"/>
            <family val="2"/>
          </rPr>
          <t>Alison.Soper:</t>
        </r>
        <r>
          <rPr>
            <sz val="9"/>
            <rFont val="Tahoma"/>
            <family val="2"/>
          </rPr>
          <t xml:space="preserve">
logic needs changing here so it can be complete if the listed activity column says No
I thjink this works now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Alison.Soper</author>
  </authors>
  <commentList>
    <comment ref="D3" authorId="0" shapeId="0" xr:uid="{00000000-0006-0000-1000-000001000000}">
      <text>
        <r>
          <rPr>
            <b/>
            <sz val="9"/>
            <rFont val="Tahoma"/>
            <family val="2"/>
          </rPr>
          <t>Alison.Soper:</t>
        </r>
        <r>
          <rPr>
            <sz val="9"/>
            <rFont val="Tahoma"/>
            <family val="2"/>
          </rPr>
          <t xml:space="preserve">
needs changing to the 4 that Mark has defined</t>
        </r>
      </text>
    </comment>
  </commentList>
</comments>
</file>

<file path=xl/sharedStrings.xml><?xml version="1.0" encoding="utf-8"?>
<sst xmlns="http://schemas.openxmlformats.org/spreadsheetml/2006/main" count="835" uniqueCount="473">
  <si>
    <t xml:space="preserve">Fersiwn: </t>
  </si>
  <si>
    <t>Taflen</t>
  </si>
  <si>
    <t xml:space="preserve">Colofn </t>
  </si>
  <si>
    <t>Cam gweithredu</t>
  </si>
  <si>
    <t>Cyflwyniad</t>
  </si>
  <si>
    <t>Rhif yr Achos</t>
  </si>
  <si>
    <t>Y dudalen ragarweiniol yw lle byddwch yn rhoi crynodeb byr o fanylion eich cais a lle byddwch yn gallu gweld y band taliadau a dadansoddiad o'r taliadau unwaith y byddwch wedi cwblhau tair tudalen yr offeryn taliadau hwn. 
Mae'n esbonio'r codau lliw a ddefnyddir yn yr offeryn. 
Os yw CNC wedi rhoi cyfeirnod PPN i chi yn ystod trafodaethau cyn ymgeisio, defnyddiwch hwn fel rhif yr achos, ond fel arall gadewch y gell hon yn wag.</t>
  </si>
  <si>
    <t>Sut mae'r bandiau'n cael eu cyfrifo</t>
  </si>
  <si>
    <t xml:space="preserve">1 Gweithgareddau Rhestredig </t>
  </si>
  <si>
    <t>D</t>
  </si>
  <si>
    <t>Rhowch ddisgrifiad ystyrlon o'r weithgaredd – er enghraifft, "Cynhyrchu papur tusw ar ddau beiriant papur"</t>
  </si>
  <si>
    <t>E</t>
  </si>
  <si>
    <t xml:space="preserve">Defnyddiwch y gwymplen i ddewis y gweithgareddau rhestredig Rhan A(1) a fydd yn cael eu cyflawni ar eich safle. Os oes gennych chi sawl llinell wahanol yn cyflawni'r un gweithgaredd rhestredig, dim ond unwaith y bydd angen i chi gofnodi’r gweithgaredd. </t>
  </si>
  <si>
    <t>Nifer y cofnodion</t>
  </si>
  <si>
    <t>F</t>
  </si>
  <si>
    <t>Defnyddiwch y gwymplen i nodi pa weithgaredd yw'r prif weithgaredd ar eich safle. Gallwch ddewis mwy nag un gweithgaredd ar gyfer hyn</t>
  </si>
  <si>
    <t>Gweithgareddau Rhestredig</t>
  </si>
  <si>
    <t>&gt;2</t>
  </si>
  <si>
    <t>G</t>
  </si>
  <si>
    <t xml:space="preserve">Bydd hwn yn dangos yn awtomatig y trothwy ar gyfer y gweithgaredd hwnnw fel y mae'n ymddangos yn Atodlen 1 i'r Rheoliadau Trwyddedu Amgylcheddol </t>
  </si>
  <si>
    <t>Dogfennau casgliadau Technoleg Orau sydd ar Gael (BATC)</t>
  </si>
  <si>
    <t>H</t>
  </si>
  <si>
    <t>Nodwch uchafswm cynhwysedd eich proses yn yr un unedau ag a ddisgrifir yn Atodlen 1 i'r Rheoliadau Trwyddedu Amgylcheddol</t>
  </si>
  <si>
    <t>Capasiti Cynhyrchu</t>
  </si>
  <si>
    <t>&lt;3</t>
  </si>
  <si>
    <t>3 i 5</t>
  </si>
  <si>
    <t>&gt;5</t>
  </si>
  <si>
    <t>I</t>
  </si>
  <si>
    <t>Bydd hyn yn dangos yn awtomatig yr unedau ar gyfer y cynhwysedd</t>
  </si>
  <si>
    <t>J</t>
  </si>
  <si>
    <t xml:space="preserve">Bydd hyn yn dangos yn awtomatig pa ddogfen casgliadau Technoleg Orau sydd ar Gael (os o gwbl) sy'n berthnasol i'r gweithgaredd. </t>
  </si>
  <si>
    <t>Sgôr</t>
  </si>
  <si>
    <r>
      <rPr>
        <u/>
        <sz val="11"/>
        <color theme="1"/>
        <rFont val="Calibri"/>
        <family val="2"/>
      </rPr>
      <t xml:space="preserve">Dolen i fanylion holl ddogfennau cyfeirio </t>
    </r>
    <r>
      <rPr>
        <sz val="11"/>
        <color theme="1"/>
        <rFont val="Calibri"/>
        <family val="2"/>
      </rPr>
      <t xml:space="preserve">Technoleg Orau sydd ar Gael </t>
    </r>
    <r>
      <rPr>
        <u/>
        <sz val="11"/>
        <color theme="1"/>
        <rFont val="Calibri"/>
        <family val="2"/>
      </rPr>
      <t xml:space="preserve">a dogfennau casgliadau </t>
    </r>
    <r>
      <rPr>
        <sz val="11"/>
        <color theme="1"/>
        <rFont val="Calibri"/>
        <family val="2"/>
      </rPr>
      <t xml:space="preserve">Technoleg Orau sydd ar Gael </t>
    </r>
    <r>
      <rPr>
        <u/>
        <sz val="11"/>
        <color theme="1"/>
        <rFont val="Calibri"/>
        <family val="2"/>
      </rPr>
      <t xml:space="preserve"> </t>
    </r>
  </si>
  <si>
    <t>K</t>
  </si>
  <si>
    <t>Bydd hyn yn dangos yn awtomatig os oes angen Rheolaeth Dechnegol Gymhwysol ar gyfer y gweithgaredd. Mae hyn ond yn berthnasol i rai gweithgareddau gwastraff lle mai dyma'r prif weithgaredd yn y gosodiad.</t>
  </si>
  <si>
    <t>Mae'r sgôr ar gyfer pob un yn cael ei hadio i fyny a'i defnyddio i bennu'r band cychwynnol</t>
  </si>
  <si>
    <t>Mae'r wybodaeth a roddwch ar y dudalen ragarweiniol yn cael ei chario drosodd i'r dudalen "Cais Newydd" a'i defnyddio i boblogi'r blychau perthnasol yng ngholofn I yn awtomatig. Mae'r blwch gwyrdd ar y dde -&gt; yn dangos sut mae'r wybodaeth hon yn cael ei defnyddio i gyfrifo'r band cychwynnol yn seiliedig ar nifer y gwahanol weithgareddau rhestredig, capasiti cynhyrchu eich prif weithgaredd, a nifer y dogfennau canllawiau technegol neu gasgliadau Technoleg Orau sydd ar Gael sy'n berthnasol.</t>
  </si>
  <si>
    <t>Band 1</t>
  </si>
  <si>
    <t>&lt;5</t>
  </si>
  <si>
    <t>Band 2</t>
  </si>
  <si>
    <t>5 i 7</t>
  </si>
  <si>
    <t>2 Gweithgareddau eraill</t>
  </si>
  <si>
    <t>Rhowch ddisgrifiad ystyrlon o'r gweithgaredd sy'n cyfateb i'r disgrifiad yn eich cais</t>
  </si>
  <si>
    <t>Band 3</t>
  </si>
  <si>
    <t>&gt;7</t>
  </si>
  <si>
    <t>(Band 3 yw'r band cychwynnol uchaf)</t>
  </si>
  <si>
    <t>G, H</t>
  </si>
  <si>
    <t xml:space="preserve">Defnyddiwch y cwymplenni yng ngholofnau G ac H i nodi'r gweithgareddau "eraill" perthnasol sy'n rhan o'ch gosodiad. Mae’r rhain i gyd yn weithgareddau a fyddai angen  eu trwydded eu hunain pe na baent yn rhan o’r gosodiad, naill ai gan CNC neu gan eich awdurdod lleol. Rydym yn codi cyfran o’r ffi ymgeisio i dalu am y gwaith penderfynu ychwanegol ar gyfer y gweithgareddau hyn. </t>
  </si>
  <si>
    <t>Mae ond angen i chi gofnodi'r Gweithgareddau sy’n Uniongyrchol Gysylltiedig sy'n weithgareddau gwastraff y byddai angen Trwydded Amgylcheddol arnynt os nad oeddent yn rhan o'ch gosodiad</t>
  </si>
  <si>
    <t>Yna cyfrifir y band taliadau terfynol drwy ychwanegu'r sgôr o'r adran cwestiynau</t>
  </si>
  <si>
    <t>Nodiadau</t>
  </si>
  <si>
    <t>Os yw eich Cyfarpar Hylosgi Canolig hefyd yn weithgaredd Rhan B, dim ond unwaith o dan yr opsiwn "Rhan B Cyfarpar Hylosgi Canolig a/neu Eneraduron Penodedig" y bydd angen i chi gofnodi'r gweithgaredd.</t>
  </si>
  <si>
    <t xml:space="preserve">Dim ond gweithgareddau Cyfarpar Hylosgi Canolig cymhleth neu Eneraduron Penodedig sydd angen eu cynnwys yn yr offeryn taliadau hwn. </t>
  </si>
  <si>
    <t>Bydd un ateb cadarnhaol neu ddogfen casgliadau Technoleg Orau sydd ar Gael ychwanegol yn symud cais Band 1 i Fand 2</t>
  </si>
  <si>
    <t>Mae angen dau ateb cadarnhaol neu ddogfen casgliadau Technoleg Orau sydd ar Gael ychwanegol i symud cais Band 2 neu 3 i’r band nesaf.  (er y bydd ateb y cwestiwn Rheoli Peryglon Damweiniau Mawr (COMAH) yn gadarnhaol yn tynnu 1 ar yr adeg hon)</t>
  </si>
  <si>
    <t xml:space="preserve">3 Ceisiadau newydd </t>
  </si>
  <si>
    <t>Adran 1</t>
  </si>
  <si>
    <t xml:space="preserve">Daw’r holl wybodaeth yn yr adran hon yn awtomatig o’ch cofnodion ar dudalen 1. Defnyddir nifer y gwahanol weithgareddau Rhan A(1), maint y gweithgareddau hynny mewn perthynas â'r trothwy rheoleiddio, a nifer y dogfennau casgliadau Technoleg Orau sydd ar Gael sy'n berthnasol i'r gweithgareddau hynny i bennu'r band taliadau cychwynnol. </t>
  </si>
  <si>
    <t>Bydd un ateb cadarnhaol yn yr adran Cymhlethdod Uwch yn symud y cais i fyny i Fand 3 o leiaf; os yw eisoes ym Mand 3, bydd yn symud i Fand 4</t>
  </si>
  <si>
    <t>Defnyddir yr wybodaeth am y gofyniad am Reolaeth Dechnegol Gymhwysol a chyflawni gweithgareddau nad oes dogfen casgliadau Technoleg Orau sydd ar Gael  ar eu cyfer yn rhan nesaf y cyfrifiad, ond fe'i dangosir yma er eglurder</t>
  </si>
  <si>
    <t>Adran 2</t>
  </si>
  <si>
    <t xml:space="preserve">Mae angen i chi ateb yr holl gwestiynau yn yr adran hon, ar wahân i'r ddau olaf, sy'n cael eu cwblhau'n awtomatig o'ch cofnodion ar y dudalen “Gweithgareddau Rhestredig”.  Mae'r agweddau hyn i gyd yn ychwanegu at yr amser y mae'n ei gymryd i benderfynu ar y cais. 
Mae Cwestiwn 2 yn yr adran hon yn gofyn am unrhyw ddogfennau casgliadau Technoleg Orau sydd ar Gael eraill sy'n berthnasol i'ch gweithgareddau. Rydym wedi cynnwys yn awtomatig y rhai sydd bob amser yn berthnasol i rai gweithgareddau rhestredig yn Adran 1 y dudalen hon (gallwch weld y rhain yn ymddangos yn awtomatig yn erbyn y gweithgaredd a restrir ar y dudalen "Gweithgareddau Rhestredig", ond mae sefyllfaoedd lle mae'n rhaid i ni asesu eich cais yn erbyn casgliadau Technoleg Orau sydd ar Gael ychwanegol. Bydd hyn yn cynnwys casgliadau Technoleg Orau sydd ar Gael ar gyfer Cemegau Cyfaint Mawr a Thrin Nwy Gwastraff ar gyfer y Sector Cemegol.  Sylwch fod Llosgi Gwastraff yn cael ei gynnwys yn awtomatig ar gyfer gweithgynhyrchu sment. </t>
  </si>
  <si>
    <t>Bydd ateb cadarnhaol i unrhyw un o'r ffactorau cymhlethdod uchel yn gosod eich cais yn awtomatig ym Mand 3 o leiaf</t>
  </si>
  <si>
    <t>Adran 3</t>
  </si>
  <si>
    <t>Mae hwn yn dangos y taliad(au) ar gyfer unrhyw weithgareddau Rhan A(2), Rhan B, Cyfarpar Hylosgi Canolig, Generadur Penodedig neu Weithrediad Gwastraff a nodir ar daflen 2</t>
  </si>
  <si>
    <t>Adran 4</t>
  </si>
  <si>
    <t xml:space="preserve">Dyma lle rydych chi'n nodi'r asesiadau ychwanegol rydych chi'n eu cyflwyno fel rhan o'ch cais. Bydd yr asesiad risg sgrinio a wnewch yn dangos pryd mae angen pob un o'r asesiadau hyn er mwyn i ni allu penderfynu ar eich cais am drwydded. </t>
  </si>
  <si>
    <t>Cyfanswm y taliadau</t>
  </si>
  <si>
    <t>Mae'r cydrannau ychwanegol yn cael eu hychwanegu at eich taliad sylfaenol i gyfrifo cyfanswm y taliad y mae angen i chi ei dalu ac fe'i dangosir ar waelod y ddalen hon</t>
  </si>
  <si>
    <t>Mae'r band taliadau ac elfennau'r taliadau hefyd i'w gweld ar y dudalen ragarweiniol</t>
  </si>
  <si>
    <t>Codi taliadau am osodiadau pan wneir cais am drwydded newydd o dan y Rheoliadau Trwyddedu Amgylcheddol</t>
  </si>
  <si>
    <t>Enw'r Gweithredwr</t>
  </si>
  <si>
    <t>Enw'r Gosodiad</t>
  </si>
  <si>
    <t>Dyddiad y Cais</t>
  </si>
  <si>
    <t>Band taliadau am y Cais Newydd hwn</t>
  </si>
  <si>
    <t>Taliad sylfaenol</t>
  </si>
  <si>
    <t>Gweithgareddau ychwanegol</t>
  </si>
  <si>
    <t>Band 4</t>
  </si>
  <si>
    <t>Asesiadau ychwanegol</t>
  </si>
  <si>
    <t xml:space="preserve">Cyfanswm y taliad </t>
  </si>
  <si>
    <t>Oriau a gwmpesir gan y taliadau hyn</t>
  </si>
  <si>
    <r>
      <rPr>
        <b/>
        <sz val="11"/>
        <color theme="1"/>
        <rFont val="Calibri"/>
        <family val="2"/>
      </rPr>
      <t xml:space="preserve">Defnyddir y codau lliw isod drwy'r offeryn i'ch helpu i weld beth sydd angen i chi ei wneud – Dim ond yn y celloedd gwyn y mae angen i chi roi gwybodaeth neu dewiswch opsiwn o </t>
    </r>
    <r>
      <rPr>
        <b/>
        <sz val="11"/>
        <color theme="1"/>
        <rFont val="Calibri"/>
        <family val="2"/>
      </rPr>
      <t>gwymplen</t>
    </r>
    <r>
      <rPr>
        <b/>
        <sz val="11"/>
        <color theme="1"/>
        <rFont val="Calibri"/>
        <family val="2"/>
      </rPr>
      <t xml:space="preserve"> las. </t>
    </r>
    <r>
      <rPr>
        <b/>
        <sz val="11"/>
        <color theme="1"/>
        <rFont val="Calibri"/>
        <family val="2"/>
      </rPr>
      <t xml:space="preserve">Mae popeth arall yn cael ei gwblhau'n awtomatig </t>
    </r>
  </si>
  <si>
    <t>Codau lliw</t>
  </si>
  <si>
    <t>Testun rhydd</t>
  </si>
  <si>
    <t>Rhestr dewisiadau</t>
  </si>
  <si>
    <t>Wedi'i boblogi’n awtomatig</t>
  </si>
  <si>
    <t>Dolen canllawiau ar gael</t>
  </si>
  <si>
    <t>Cyfarwyddyd</t>
  </si>
  <si>
    <t>Ateb yn y gell</t>
  </si>
  <si>
    <t>Gwybodaeth neu sylwebaeth</t>
  </si>
  <si>
    <t>A yw'r ddogfen hon yn cynnwys gwybodaeth sy'n gyfrinachol yn fasnachol?</t>
  </si>
  <si>
    <t>Dolen canllawiau</t>
  </si>
  <si>
    <t>Gweithgareddau a chynhwysedd y gosodiad</t>
  </si>
  <si>
    <r>
      <rPr>
        <b/>
        <sz val="11"/>
        <color theme="1"/>
        <rFont val="Calibri"/>
        <family val="2"/>
      </rPr>
      <t xml:space="preserve">Rhowch fanylion gweithgareddau eich safle, gan ddefnyddio'r </t>
    </r>
    <r>
      <rPr>
        <b/>
        <sz val="11"/>
        <color theme="1"/>
        <rFont val="Calibri"/>
        <family val="2"/>
      </rPr>
      <t>cwymplenni</t>
    </r>
    <r>
      <rPr>
        <b/>
        <sz val="11"/>
        <color theme="1"/>
        <rFont val="Calibri"/>
        <family val="2"/>
      </rPr>
      <t xml:space="preserve"> yn y blychau glas isod, a rhowch ddisgrifiad o bob gweithgaredd a'r cynhwysedd mwyaf yn y blychau testun rhydd gwyn</t>
    </r>
  </si>
  <si>
    <t>Enw'r Gweithredwr:</t>
  </si>
  <si>
    <t>Rhif yr Achos:</t>
  </si>
  <si>
    <r>
      <rPr>
        <b/>
        <sz val="11"/>
        <color theme="1"/>
        <rFont val="Calibri"/>
        <family val="2"/>
      </rPr>
      <t>Disgrifiad o'r Gweithgaredd</t>
    </r>
    <r>
      <rPr>
        <b/>
        <sz val="11"/>
        <color theme="1"/>
        <rFont val="Calibri"/>
        <family val="2"/>
      </rPr>
      <t xml:space="preserve"> </t>
    </r>
  </si>
  <si>
    <t>Cyfeirnod Atodlen 1</t>
  </si>
  <si>
    <t>Prif Weithgaredd</t>
  </si>
  <si>
    <t>Trothwy</t>
  </si>
  <si>
    <t>Cynhwysedd</t>
  </si>
  <si>
    <t>Unedau</t>
  </si>
  <si>
    <t>Casgliadau Technoleg Orau sydd ar Gael sy'n berthnasol i'r gweithgaredd hwn</t>
  </si>
  <si>
    <t>Gweithgaredd Rheolaeth Dechnegol Gymhwysol</t>
  </si>
  <si>
    <t>Angen Rheolaeth Dechnegol Gymhwysol</t>
  </si>
  <si>
    <t>disgrifydd</t>
  </si>
  <si>
    <t>Prif weithgaredd</t>
  </si>
  <si>
    <t>Allbwn ar goll</t>
  </si>
  <si>
    <t>Lluosrif y trothwy</t>
  </si>
  <si>
    <r>
      <rPr>
        <b/>
        <sz val="11"/>
        <color theme="1"/>
        <rFont val="Calibri"/>
        <family val="2"/>
      </rPr>
      <t xml:space="preserve">Gweithgareddau Atodlen 1 Rhan A(2), Rhan B, Cyfarpar Hylosgi Canolig, Generadur Penodedig ac </t>
    </r>
    <r>
      <rPr>
        <b/>
        <sz val="11"/>
        <color theme="1"/>
        <rFont val="Calibri"/>
        <family val="2"/>
      </rPr>
      <t>Uniongyrchol Gysylltiedig</t>
    </r>
  </si>
  <si>
    <t>Rhestr o Weithgareddau Atodlen Rhan (A) 2 a Rhan B y Rheoliadau Trwyddedu Amgylcheddol, Cyfarpar Hylosgi Canolig, Generadur Penodedig a Gwastraff sy’n Uniongyrchol Gysylltiedig sydd wedi'u cynnwys yn y Gosodiad</t>
  </si>
  <si>
    <t>activity descriptor</t>
  </si>
  <si>
    <t>EPR sched ref</t>
  </si>
  <si>
    <t>Rhowch ddisgrifiad o'r Gweithgaredd</t>
  </si>
  <si>
    <t>Rhan A2 neu Ran B neu Broses Gysylltiedig (Gweithgaredd sy’n Gysylltiedig yn Uniongyrchol) neu Gyfarpar Hylosgi Canolig neu Eneradur Penodedig</t>
  </si>
  <si>
    <t>Cyfeirnod Atodlen y Rheoliadau Trwyddedu Amgylcheddol neu Ddisgrifiad o'r Gweithgaredd</t>
  </si>
  <si>
    <t>Information/guidance</t>
  </si>
  <si>
    <t>SRoC CNC f2 2024-25</t>
  </si>
  <si>
    <t>Cais am Drwydded Gosodiad Bwrpasol Newydd</t>
  </si>
  <si>
    <t>sgorau terfyn ar gyfer y band cychwynnol</t>
  </si>
  <si>
    <t xml:space="preserve">Adran 1 </t>
  </si>
  <si>
    <r>
      <rPr>
        <b/>
        <sz val="11"/>
        <color theme="1"/>
        <rFont val="Calibri"/>
        <family val="2"/>
      </rPr>
      <t>Eich gweithgareddau a maint eich gweithrediad</t>
    </r>
    <r>
      <rPr>
        <b/>
        <sz val="11"/>
        <color theme="1"/>
        <rFont val="Calibri"/>
        <family val="2"/>
      </rPr>
      <t xml:space="preserve">
O'r wybodaeth a gofnodwyd ar y tabiau blaenorol</t>
    </r>
  </si>
  <si>
    <t>Nifer y gwahanol weithgareddau Atodlen 1 Rhan A (1) yn y gosodiad</t>
  </si>
  <si>
    <t>Nifer y dogfennau casgliadau Technoleg Orau sydd ar Gael neu ganllawiau technegol sy'n berthnasol i'ch gosodiad</t>
  </si>
  <si>
    <t>Lluosrif y trothwy gweithgaredd – prif weithgaredd</t>
  </si>
  <si>
    <t>Bydd gofyn i chi feddu ar gymhwysedd technegol ar gyfer rhan neu'r cyfan o'ch gweithrediadau (rhai gweithgareddau gwastraff yn unig)</t>
  </si>
  <si>
    <t xml:space="preserve">atebion ie a na yng nghelloedd I13 ac I14 yn cael eu defnyddio wrth gyfrifo yn adran 2 </t>
  </si>
  <si>
    <t>Byddwch yn cyflawni gweithgareddau Rhan A(1) lle nad oes dogfen cyfeirio Techoleg Orau sydd ar Gael na chanllawiau technegol ar eu cyfer</t>
  </si>
  <si>
    <t>disgrifiad o’r gweithgaredd rhestredig</t>
  </si>
  <si>
    <t>cynhwysedd y gweithgaredd</t>
  </si>
  <si>
    <t xml:space="preserve">Band cychwynnol </t>
  </si>
  <si>
    <t>Atebwch bob cwestiwn isod gan ddefnyddio'r cwymplenni glas</t>
  </si>
  <si>
    <t xml:space="preserve">mae'r celloedd isod yn esbonio’r cyfrifiadau </t>
  </si>
  <si>
    <t>Ffactorau Cymhlethdod</t>
  </si>
  <si>
    <t xml:space="preserve">A fyddwch chi'n mewnforio gwastraff peryglus i'w storio a/neu ei drin? </t>
  </si>
  <si>
    <t xml:space="preserve">byddaf / na fyddaf </t>
  </si>
  <si>
    <t xml:space="preserve">pwysoliad ar gyfer nifer y dogfennau casgliadau Technoleg Orau sydd ar Gael </t>
  </si>
  <si>
    <r>
      <rPr>
        <sz val="11"/>
        <color rgb="FF000000"/>
        <rFont val="Calibri"/>
        <family val="2"/>
      </rPr>
      <t xml:space="preserve">Sawl dogfen casgliadau Technoleg Orau sydd ar Gael neu Nodiadau Cyfarwyddyd Technegol </t>
    </r>
    <r>
      <rPr>
        <b/>
        <sz val="11"/>
        <color theme="1"/>
        <rFont val="Calibri"/>
        <family val="2"/>
      </rPr>
      <t xml:space="preserve">na </t>
    </r>
    <r>
      <rPr>
        <sz val="11"/>
        <color theme="1"/>
        <rFont val="Calibri"/>
        <family val="2"/>
      </rPr>
      <t xml:space="preserve">restrir yng ngholofn L y tab "Gweithgareddau rhestredig" sydd hefyd yn berthnasol i'ch gweithgareddau? e.e. Trin Cemegau Cyfaint Mawr neu Nwy Gwastraff ar gyfer y sector cemegol. </t>
    </r>
  </si>
  <si>
    <t>nifer o atebion cadarnhaol yn yr adran hon</t>
  </si>
  <si>
    <t xml:space="preserve">A fyddwch yn gwneud cais am randdirymiad o unrhyw gasgliad Technoleg Orau sydd ar Gael? </t>
  </si>
  <si>
    <t>cyfanswm o ddwy gell uchod</t>
  </si>
  <si>
    <t>A fyddwch chi'n cynnal unrhyw weithgareddau sy'n dod o dan Pennod V y Gyfarwyddeb Allyriadau Diwydiannol (allyriadau toddyddion)?</t>
  </si>
  <si>
    <t>cyfanswm gydag ateb Rheoli Peryglon Damweiniau Mawr (COMAH) wedi'i ychwanegu</t>
  </si>
  <si>
    <t>A fydd angen protocol cynnyrch lluosog arnoch chi? (Safleoedd cemegol yn unig)</t>
  </si>
  <si>
    <t xml:space="preserve">bydd / na fydd </t>
  </si>
  <si>
    <t>pwysoliad ar gyfer yr adran hon</t>
  </si>
  <si>
    <t>A yw eich safle hefyd yn dod o dan y Rheoliadau Rheoli Peryglon Damweiniau Mawr (COMAH)? (bydd gostyngiad yn cael ei gymhwyso i sgôr yr adran hon ar gyfer safleoedd COMAH)</t>
  </si>
  <si>
    <t xml:space="preserve">ydy / nac ydy </t>
  </si>
  <si>
    <t>didyniad ar gyfer safle COMAH</t>
  </si>
  <si>
    <t>Ffactorau Cymhlethdod Uchel</t>
  </si>
  <si>
    <t>A fyddwch chi'n gweithredu gweithgaredd sy'n dod o dan Pennod III o'r Gyfarwyddeb Allyriadau Diwydiannol (Cyfarpar Hylosgi Mawr)?</t>
  </si>
  <si>
    <t>byddaf / na fyddaf</t>
  </si>
  <si>
    <t>Rydych yn gweithredu gweithgaredd llosgydd neu gyd-losgydd (Adran 5.1 Rhan A1)</t>
  </si>
  <si>
    <t>band 1</t>
  </si>
  <si>
    <t>band 2</t>
  </si>
  <si>
    <t>band 3</t>
  </si>
  <si>
    <t>band 4</t>
  </si>
  <si>
    <t>(Os ydych yn gweithredu odyn sment, byddwn yn cymryd yn ganiataol eich bod yn gyd-losgydd ac mae Casgliadau Technoleg Orau sydd ar Gael ar gyfer Llosgi Gwastraff hefyd yn berthnasol)</t>
  </si>
  <si>
    <t>Mae eich cais yn cynnwys gweithgaredd tirlenwi Adran 5.2</t>
  </si>
  <si>
    <t>Y band taliadau sylfaenol ar gyfer eich cais yw:</t>
  </si>
  <si>
    <t>Y taliadau sylfaenol ar gyfer eich cais yw:</t>
  </si>
  <si>
    <t>Gweithgareddau Eraill</t>
  </si>
  <si>
    <t>Nifer pob math o weithgaredd</t>
  </si>
  <si>
    <t xml:space="preserve"> taliadau fesul gweithgaredd</t>
  </si>
  <si>
    <t>cyfanswm taliadau cyn capio</t>
  </si>
  <si>
    <r>
      <rPr>
        <b/>
        <sz val="11"/>
        <color theme="1"/>
        <rFont val="Calibri"/>
        <family val="2"/>
      </rPr>
      <t>taliadau wedi'u c</t>
    </r>
    <r>
      <rPr>
        <b/>
        <sz val="11"/>
        <color theme="1"/>
        <rFont val="Calibri"/>
        <family val="2"/>
      </rPr>
      <t>apio</t>
    </r>
  </si>
  <si>
    <t>Cyfarpar Hylosgi Canolig Cymhleth a/neu Eneraduron Penodedig wedi'u cynnwys yn eich cais</t>
  </si>
  <si>
    <t>Nifer y Cyfarpar Hylosgi Canolig a/neu Eneraduron Penodedig sydd hefyd yn weithgareddau hylosgi neu losgi Rhan B</t>
  </si>
  <si>
    <t>Nifer y gweithgareddau Atodlen 1 Rhan A (2) a/neu Ran B eraill sydd wedi eu cynnwys yn eich cais</t>
  </si>
  <si>
    <t>Nifer y Gweithgareddau Gwastraff sy’n Uniongyrchol Gysylltiedig sydd wedi'u cynnwys yn eich ceisiadau (nid y gweithgareddau a restrir o dan 5.1 – 5.7 Rhan A(1) o'r Rheoliadau Trwyddedu Amgylcheddol)</t>
  </si>
  <si>
    <t>Cyfanswm ar gyfer "gweithgareddau eraill"</t>
  </si>
  <si>
    <t>Cofnodion disgrifiadau o weithgareddau</t>
  </si>
  <si>
    <t xml:space="preserve">Cofnodion cyfeirnod atodlen y Rheoliadau Trwyddedu Amgylcheddol </t>
  </si>
  <si>
    <t>Gwybodaeth am unrhyw asesiadau ychwanegol y mae'n ofynnol i chi eu cyflwyno gyda'ch cais</t>
  </si>
  <si>
    <t>Asesiadau Ychwanegol</t>
  </si>
  <si>
    <t xml:space="preserve">Ydy'ch cais yn cynnwys? </t>
  </si>
  <si>
    <t>Taliadau wedi’u hychwanegu</t>
  </si>
  <si>
    <t>Swm a godir fesul asesiad</t>
  </si>
  <si>
    <t>Cyfeirnod y ddogfen</t>
  </si>
  <si>
    <t>Asesiad modelu gwasgariad aer llawn</t>
  </si>
  <si>
    <t>Asesiad effaith modelu arogl llawn (lle nad yw’n rhan o fodelu gwasgariad aer)</t>
  </si>
  <si>
    <t>Asesiad effaith modelu allyriadau llwch neu allyriadau sy'n ffoi llawn (lle nad yw’n rhan o fodelu gwasgariad aer)</t>
  </si>
  <si>
    <t>Asesiad effaith modelu bioaerosol llawn</t>
  </si>
  <si>
    <t xml:space="preserve">Asesiad effaith modelu sŵn llawn </t>
  </si>
  <si>
    <t xml:space="preserve">Asesiad Dyddodi Gwastraff at Ddibenion Adfer </t>
  </si>
  <si>
    <t>Cynllun Amddiffyn a Lliniaru Tân ar gyfer rhan o'ch gosodiad neu'r cyfan ohono</t>
  </si>
  <si>
    <t>Asesiad y Gyfarwyddeb Fframwaith Dŵr o elifiant prosesau</t>
  </si>
  <si>
    <t>Rhestrir cynlluniau/adroddiadau tirlenwi benodol yn Atodiad 7 rhan B3 o'r ffurflen gais – dyma'r rhai fydd yn destun taliadau am amser a deunyddiau</t>
  </si>
  <si>
    <t>Cyfanswm y taliadau am eich cais yw:</t>
  </si>
  <si>
    <t>taliad yr awr</t>
  </si>
  <si>
    <t>Oriau ar y gyfradd gyfredol</t>
  </si>
  <si>
    <t>Gweithgareddau rhestredig</t>
  </si>
  <si>
    <r>
      <rPr>
        <u/>
        <sz val="11"/>
        <color theme="1"/>
        <rFont val="Calibri"/>
        <family val="2"/>
      </rPr>
      <t xml:space="preserve">Dogfennau cyfeirio </t>
    </r>
    <r>
      <rPr>
        <sz val="11"/>
        <color theme="1"/>
        <rFont val="Calibri"/>
        <family val="2"/>
      </rPr>
      <t xml:space="preserve">Technoleg Orau sydd ar Gael </t>
    </r>
    <r>
      <rPr>
        <u/>
        <sz val="11"/>
        <color theme="1"/>
        <rFont val="Calibri"/>
        <family val="2"/>
      </rPr>
      <t xml:space="preserve">| </t>
    </r>
    <r>
      <rPr>
        <u/>
        <sz val="11"/>
        <color theme="1"/>
        <rFont val="Calibri"/>
        <family val="2"/>
      </rPr>
      <t>Eippcb</t>
    </r>
    <r>
      <rPr>
        <u/>
        <sz val="11"/>
        <color theme="1"/>
        <rFont val="Calibri"/>
        <family val="2"/>
      </rPr>
      <t xml:space="preserve"> (europa.eu)</t>
    </r>
  </si>
  <si>
    <t>Rheoliadau Diogelu'r Amgylchedd (Diwygiadau Amrywiol) (Cymru a Lloegr) 2018 (legislation.gov.uk)</t>
  </si>
  <si>
    <t>Gweithgareddau eraill</t>
  </si>
  <si>
    <t>Trosglwyddiadau</t>
  </si>
  <si>
    <t>Ildio</t>
  </si>
  <si>
    <t>Ceisiadau newydd</t>
  </si>
  <si>
    <t>Amrywiadau</t>
  </si>
  <si>
    <t>Casgliadau Technoleg Orau sydd ar Gael eraill</t>
  </si>
  <si>
    <t>Gweithgareddau newydd  eraill / sydd wedi’u newid</t>
  </si>
  <si>
    <t>CinC</t>
  </si>
  <si>
    <t>Nodiadau ar weithgareddau rhestredig</t>
  </si>
  <si>
    <t>Atodlen 1</t>
  </si>
  <si>
    <t>Band cymhlethdod OPRA</t>
  </si>
  <si>
    <t>Trothwy yn y Rheoliadau Trwyddedu Amgylcheddol</t>
  </si>
  <si>
    <t>Canllawiau cyhoeddedig</t>
  </si>
  <si>
    <t>WTC</t>
  </si>
  <si>
    <t>Gweithgareddau atodlen</t>
  </si>
  <si>
    <t>Rheol 4</t>
  </si>
  <si>
    <t>Ie</t>
  </si>
  <si>
    <t>Llawn</t>
  </si>
  <si>
    <t>Na</t>
  </si>
  <si>
    <t>Dim cynnydd</t>
  </si>
  <si>
    <t>Newydd</t>
  </si>
  <si>
    <t>Cwestiwn ychwanegol ar gyfer Cyfarpar Hylosgi Mawr Pennod III</t>
  </si>
  <si>
    <t xml:space="preserve">1.1 Rhan A (1) a) (i) </t>
  </si>
  <si>
    <t>C</t>
  </si>
  <si>
    <t>MW</t>
  </si>
  <si>
    <t>LCP</t>
  </si>
  <si>
    <t>Rhan A2 neu Ran B</t>
  </si>
  <si>
    <t>Rhan_A2</t>
  </si>
  <si>
    <t xml:space="preserve">Rhan_B </t>
  </si>
  <si>
    <t>RhanB_CHC_a_neu_EP</t>
  </si>
  <si>
    <t>Gweithgareddau_gwastraff_uniongyrchol_gysylltiedig</t>
  </si>
  <si>
    <t>Cyfarpar_Hylosgi_Canolig_a_Generaduron_Penodedig</t>
  </si>
  <si>
    <t>Generaduron_penodedig</t>
  </si>
  <si>
    <t>Cyfarpar_Hylosgi_Canolig</t>
  </si>
  <si>
    <t>Cymhlethdod</t>
  </si>
  <si>
    <t>Grŵp cyfuno</t>
  </si>
  <si>
    <t>Rhan</t>
  </si>
  <si>
    <t>Amherthnasol</t>
  </si>
  <si>
    <t>hyd at 20%</t>
  </si>
  <si>
    <t>Wedi'i newid</t>
  </si>
  <si>
    <t>1.2 Rhan A(1) a)</t>
  </si>
  <si>
    <t>A</t>
  </si>
  <si>
    <t>TPY</t>
  </si>
  <si>
    <t>REF</t>
  </si>
  <si>
    <t>1.2 Rhan A(2)(a)</t>
  </si>
  <si>
    <t>1.1 Rhan B a)</t>
  </si>
  <si>
    <t>1.1 Rhan B Cyfarpar_Hylosgi_Canolig_Atodlen 25A</t>
  </si>
  <si>
    <t>Gweithgareddau gwastraff uniongyrchol gysylltiedig nad yw o dan adran 5.1 – 5.7 o Atodlen 1 i'r Rheoliadau Trwyddedu Amgylcheddol</t>
  </si>
  <si>
    <t>Atodlen 25 A a B – Cyfarpar Hylosgi Canolig cymhleth a Generadur Penodedig cymhleth</t>
  </si>
  <si>
    <t>Atodlen 25B – Generadur Penodedig cymhleth yn unig</t>
  </si>
  <si>
    <t>Atodlen 25A – Cyfarpar Hylosgi Canolig cymhleth yn unig</t>
  </si>
  <si>
    <t>Bellach wedi'i gysylltu'n uniongyrchol â'r prif weithgareddau atodlen</t>
  </si>
  <si>
    <t>20% i 50%</t>
  </si>
  <si>
    <t xml:space="preserve">1.2 Rhan A(1) b) </t>
  </si>
  <si>
    <t>IS</t>
  </si>
  <si>
    <t>2.1 Rhan A(2) (a)</t>
  </si>
  <si>
    <t>1.1 Rhan B b)</t>
  </si>
  <si>
    <t>1.1 Rhan B Generaduron_Penodedig_Atodlen 25B</t>
  </si>
  <si>
    <t>Atodlen 25 A a B – Cyfarpar Hylosgi Canolig syml a Generadur Penodedig cymhleth</t>
  </si>
  <si>
    <t>50% i 100%</t>
  </si>
  <si>
    <t xml:space="preserve">1.2 Rhan A (1) c) </t>
  </si>
  <si>
    <t>2.1 Rhan A(2) (b)</t>
  </si>
  <si>
    <t>1.1 Rhan B c) ii)</t>
  </si>
  <si>
    <t>1.1 Rhan B Cyfarpar Hylosgi Canolig a Generadur Penodedig _Atodlen 25 A a B</t>
  </si>
  <si>
    <t>Atodlen 25 A a B – Cyfarpar Hylosgi Canolig cymhleth a Generadur Penodedig syml</t>
  </si>
  <si>
    <t>1.2 Rhan A (1) d)</t>
  </si>
  <si>
    <t>2.1 Rhan A(2) (c)</t>
  </si>
  <si>
    <t>1.1 Rhan B c) i)</t>
  </si>
  <si>
    <t>5.1 Rhan B Cyfarpar Hylosgi Canolig – Atodlen 25A</t>
  </si>
  <si>
    <t>1.2 Rhan A(1) e) i)</t>
  </si>
  <si>
    <t>2.1 Rhan A(2) (d)</t>
  </si>
  <si>
    <t>1.2 Rhan B a)</t>
  </si>
  <si>
    <t>5.1 Rhan B Generadur Penodedig – Atodlen 25B</t>
  </si>
  <si>
    <t>1.2 Rhan A(1) e) ii)</t>
  </si>
  <si>
    <t>2.2 Rhan A(2) a)</t>
  </si>
  <si>
    <t>1.2 Rhan B b)</t>
  </si>
  <si>
    <t>5.1 Rhan B Cyfarpar Hylosgi Canolig a Generadur Penodedig – Atodlen 25A a B</t>
  </si>
  <si>
    <t>1.2 Rhan A (1) f)</t>
  </si>
  <si>
    <t>2.3 Rhan A(2) a)</t>
  </si>
  <si>
    <t>1.2 Rhan B c)</t>
  </si>
  <si>
    <t>5 neu fwy</t>
  </si>
  <si>
    <t>1.2 Rhan A (1) g)</t>
  </si>
  <si>
    <t>3.1 Rhan A(2) a)</t>
  </si>
  <si>
    <t>1.2 Rhan B d)</t>
  </si>
  <si>
    <t>2.1 Rhan A (1) a)</t>
  </si>
  <si>
    <t>3.1 Rhan A(2) b)</t>
  </si>
  <si>
    <t>2.1 Rhan B a)</t>
  </si>
  <si>
    <t>2.1 Rhan A (1) b) i neu ii</t>
  </si>
  <si>
    <t>3.3 Rhan A(2) a)</t>
  </si>
  <si>
    <t>2.1 Rhan B b) i)</t>
  </si>
  <si>
    <t>2.1 Rhan A (1) c)</t>
  </si>
  <si>
    <t>TPH</t>
  </si>
  <si>
    <t>FMP</t>
  </si>
  <si>
    <t>3.5 Rhan A(2) a)</t>
  </si>
  <si>
    <t>2.1 Rhan B b) ii)</t>
  </si>
  <si>
    <t>2.1 Rhan A (1) d)</t>
  </si>
  <si>
    <t>3.6 Rhan A (2) a) i)</t>
  </si>
  <si>
    <t>2.1 Rhan B c)</t>
  </si>
  <si>
    <t>2.2 Rhan A(1) a)</t>
  </si>
  <si>
    <t>NFM</t>
  </si>
  <si>
    <t>3.6 Rhan A (2) a) ii)</t>
  </si>
  <si>
    <t>2.1 Rhan B d) i)</t>
  </si>
  <si>
    <t>2.2 Rhan A(1) b) Cd/Pb</t>
  </si>
  <si>
    <t>B</t>
  </si>
  <si>
    <t>TPD</t>
  </si>
  <si>
    <t>5.1 Rhan A (2) a)</t>
  </si>
  <si>
    <t>2.1 Rhan B d) ii)</t>
  </si>
  <si>
    <t>2.2 Rhan A(1) b) NFM arall</t>
  </si>
  <si>
    <t>5.1 Rhan A (2) b)</t>
  </si>
  <si>
    <t>2.1 Rhan B d) iii)</t>
  </si>
  <si>
    <t>2.2 Rhan A(1) c)</t>
  </si>
  <si>
    <t>5.1 Rhan A (2) c)</t>
  </si>
  <si>
    <t>2.1 Rhan B e)</t>
  </si>
  <si>
    <t>2.3 Rhan A (1) a)</t>
  </si>
  <si>
    <t>m3</t>
  </si>
  <si>
    <t>STM</t>
  </si>
  <si>
    <t>6.1 Rhan A (2) a)</t>
  </si>
  <si>
    <t>2.2 Rhan B a)</t>
  </si>
  <si>
    <t>3.1 Rhan A(1) a) odynau cylchdro</t>
  </si>
  <si>
    <t>CLM</t>
  </si>
  <si>
    <t>6.4 Rhan A (2) a)</t>
  </si>
  <si>
    <t>2.2 Rhan B b)</t>
  </si>
  <si>
    <t>3.1 Rhan A(1) a) odynau eraill</t>
  </si>
  <si>
    <t>6.7 Rhan A (2) a)</t>
  </si>
  <si>
    <t>2.2 Rhan B c)</t>
  </si>
  <si>
    <t>3.1 Rhan A(1) b)</t>
  </si>
  <si>
    <t>6.8 Rhan A (2) a)</t>
  </si>
  <si>
    <t>2.2 Rhan B d)</t>
  </si>
  <si>
    <t>3.2 Rhan A(1) a)</t>
  </si>
  <si>
    <t>2.2 Rhan B e)</t>
  </si>
  <si>
    <t>3.2 Rhan A(1) b)</t>
  </si>
  <si>
    <t>2.3 Rhan B a)</t>
  </si>
  <si>
    <t>3.3 Rhan A(1) a)</t>
  </si>
  <si>
    <t>GLS</t>
  </si>
  <si>
    <t>3.1 Rhan B a)</t>
  </si>
  <si>
    <t>3.4 Rhan A(1) a)</t>
  </si>
  <si>
    <t>3.1 Rhan B b)</t>
  </si>
  <si>
    <t>3.6 Rhan A(1) a)</t>
  </si>
  <si>
    <t>CER</t>
  </si>
  <si>
    <t>3.1 Rhan B c)</t>
  </si>
  <si>
    <t xml:space="preserve">4.1 Rhan A1 a) (i) </t>
  </si>
  <si>
    <t>OFC/LVOC</t>
  </si>
  <si>
    <t>3.1 Rhan B d)</t>
  </si>
  <si>
    <t xml:space="preserve">4.1 Rhan A1 a) (ii) </t>
  </si>
  <si>
    <t>3.3 Rhan B a)</t>
  </si>
  <si>
    <t xml:space="preserve">4.1 Rhan A1 a) (iii) </t>
  </si>
  <si>
    <t>3.3 Rhan B b)</t>
  </si>
  <si>
    <t xml:space="preserve">4.1 Rhan A1 a) (iv) </t>
  </si>
  <si>
    <t>3.3 Rhan B c)</t>
  </si>
  <si>
    <t xml:space="preserve">4.1 Rhan A1 a) (v) </t>
  </si>
  <si>
    <t>3.3 Rhan B d) i)</t>
  </si>
  <si>
    <t xml:space="preserve">4.1 Rhan A1 a) (vi) </t>
  </si>
  <si>
    <t>3.3 Rhan B d) ii)</t>
  </si>
  <si>
    <t xml:space="preserve">4.1 Rhan A1 a) (vii) </t>
  </si>
  <si>
    <t>3.3 Rhan B e)</t>
  </si>
  <si>
    <t xml:space="preserve">4.1 Rhan A1 a) (viii) </t>
  </si>
  <si>
    <t>POL/LVOC</t>
  </si>
  <si>
    <t>3.5 Rhan B a)</t>
  </si>
  <si>
    <t xml:space="preserve">4.1 Rhan A1 a) (ix) </t>
  </si>
  <si>
    <t>3.5 Rhan B b) i)</t>
  </si>
  <si>
    <t xml:space="preserve">4.1 Rhan A1 a) (x) </t>
  </si>
  <si>
    <t>3.5 Rhan B b) ii)</t>
  </si>
  <si>
    <t>4.1 Rhan A1 a) (xi)</t>
  </si>
  <si>
    <t>3.5 Rhan B b) iii)</t>
  </si>
  <si>
    <t>4.2 Rhan A1 (a) i)</t>
  </si>
  <si>
    <t>SIC/LVIC</t>
  </si>
  <si>
    <t>3.5 Rhan B c)</t>
  </si>
  <si>
    <t>4.2 Rhan A1 (a) ii)</t>
  </si>
  <si>
    <t>3.5 Rhan B d)</t>
  </si>
  <si>
    <t>4.2 Rhan A1 (a) iii)</t>
  </si>
  <si>
    <t>3.5 Rhan B e)</t>
  </si>
  <si>
    <t>4.2 Rhan A1 (a) iv)</t>
  </si>
  <si>
    <t>3.5 Rhan B f)</t>
  </si>
  <si>
    <t>4.2 Rhan A1 (a) v)</t>
  </si>
  <si>
    <t>3.5 Rhan B g)</t>
  </si>
  <si>
    <t>4.2 Rhan A1 (a) vi)</t>
  </si>
  <si>
    <t>3.6 Rhan B a)</t>
  </si>
  <si>
    <t>4.2 Rhan A1 (b)</t>
  </si>
  <si>
    <t>3.6 Rhan B b)</t>
  </si>
  <si>
    <t>4.2 Rhan A1 (c)</t>
  </si>
  <si>
    <t>4.1 Rhan B a)</t>
  </si>
  <si>
    <t>4.2 Rhan A1 (d)</t>
  </si>
  <si>
    <t>4.1 Rhan B b)</t>
  </si>
  <si>
    <t>4.2 Rhan A1 (e)</t>
  </si>
  <si>
    <t>4.1 Rhan B c)</t>
  </si>
  <si>
    <t>4.2 Rhan A1 (f)</t>
  </si>
  <si>
    <t>4.1 Rhan B d)</t>
  </si>
  <si>
    <t xml:space="preserve">4.3 Rhan A1 (a) </t>
  </si>
  <si>
    <t>LVIC-AAF</t>
  </si>
  <si>
    <t>4.8 Rhan B a)</t>
  </si>
  <si>
    <t xml:space="preserve">4.4 Rhan A1 (a) </t>
  </si>
  <si>
    <t>OFC</t>
  </si>
  <si>
    <t>5.1 Rhan B a)</t>
  </si>
  <si>
    <t>4.5 Rhan A1 (a)</t>
  </si>
  <si>
    <t>5.1 Rhan B b)</t>
  </si>
  <si>
    <t>4.6 Rhan A1 (a)</t>
  </si>
  <si>
    <t>6.3 Rhan B a) i)</t>
  </si>
  <si>
    <t>4.7 Rhan A1 (a)</t>
  </si>
  <si>
    <t>6.3 Rhan B a) ii)</t>
  </si>
  <si>
    <t xml:space="preserve">5.1 Rhan A1 (a) </t>
  </si>
  <si>
    <t>WI</t>
  </si>
  <si>
    <t>6.4 Rhan B a) i)</t>
  </si>
  <si>
    <t>5.1 Rhan A1 (b)</t>
  </si>
  <si>
    <t>6.4 Rhan B a) ii)</t>
  </si>
  <si>
    <t>5.1 Rhan A1 (c)</t>
  </si>
  <si>
    <t>6.4 Rhan B a) iii)</t>
  </si>
  <si>
    <t xml:space="preserve">5.2 Rhan A1 (a) </t>
  </si>
  <si>
    <t>LFD</t>
  </si>
  <si>
    <t>6.4 Rhan B a) iv)</t>
  </si>
  <si>
    <t>5.3 Rhan A (1) a) (i)</t>
  </si>
  <si>
    <t>WT</t>
  </si>
  <si>
    <t>6.4 Rhan B b)</t>
  </si>
  <si>
    <t>5.3 Rhan A (1) a) (i) (AD)</t>
  </si>
  <si>
    <t>6.4 Rhan B c) i)</t>
  </si>
  <si>
    <t>5.3 Rhan A (1) a) (ii)</t>
  </si>
  <si>
    <t>6.4 Rhan B c) ii)</t>
  </si>
  <si>
    <t>5.3 Rhan A (1) a) (iii)</t>
  </si>
  <si>
    <t>6.4 Rhan B c) iii)</t>
  </si>
  <si>
    <t>5.3 Rhan A (1) a) (iv)</t>
  </si>
  <si>
    <t>6.5 Rhan B a) i)</t>
  </si>
  <si>
    <t>5.3 Rhan A (1) a) (v)</t>
  </si>
  <si>
    <t>6.5 Rhan B a) ii)</t>
  </si>
  <si>
    <t>5.3 Rhan A(1) a)(vi) Gwaredu</t>
  </si>
  <si>
    <t>6.6 Rhan B a) i)</t>
  </si>
  <si>
    <t>5.3 Rhan A(1) a) vi) Adfer</t>
  </si>
  <si>
    <t>6.6 Rhan B a) ii)</t>
  </si>
  <si>
    <t>5.3 Rhan A (1) a) (vii) Gwaredu</t>
  </si>
  <si>
    <t>6.7 Rhan B a) i)</t>
  </si>
  <si>
    <t>5.3 Rhan A (1) a) (vii) Adfer</t>
  </si>
  <si>
    <t>6.7 Rhan B a) ii)</t>
  </si>
  <si>
    <t>5.3 Rhan A (1) a) (viii)</t>
  </si>
  <si>
    <t>6.7 Rhan B b)</t>
  </si>
  <si>
    <t>5.3 Rhan A (1) a) (ix) Gwaredu</t>
  </si>
  <si>
    <t>6.8 Rhan B a)</t>
  </si>
  <si>
    <t>5.3 Rhan A (1) a) (ix) Adfer</t>
  </si>
  <si>
    <t>6.8 Rhan B b)</t>
  </si>
  <si>
    <t>5.3 Rhan A (1) a) (x)</t>
  </si>
  <si>
    <t>7 Rhan B</t>
  </si>
  <si>
    <t>5.3 Rhan A (1) a) (xi) Gwaredu</t>
  </si>
  <si>
    <t>Proses gysylltiedig</t>
  </si>
  <si>
    <t>5.3 Rhan A (1) a) (xi) Adfer</t>
  </si>
  <si>
    <t>5.4 Rhan A (1) a) (i)</t>
  </si>
  <si>
    <t>5.4 Rhan A (1) a) (i)(AD)</t>
  </si>
  <si>
    <t>5.4 Rhan A (1) a) (ii)</t>
  </si>
  <si>
    <t>5.4 Rhan A (1) a) (iii)</t>
  </si>
  <si>
    <t>5.4 Rhan A (1) a) (iv)</t>
  </si>
  <si>
    <t>5.4 Rhan A (1) a) (v)</t>
  </si>
  <si>
    <t>5.4 Rhan A (1) b) (i)</t>
  </si>
  <si>
    <t>5.4 Rhan A (1) b) (i)(AD)</t>
  </si>
  <si>
    <t>5.4 Rhan A (1) b) (ii)</t>
  </si>
  <si>
    <t>5.4 Rhan A (1) b) (iii)</t>
  </si>
  <si>
    <t>5.4 Rhan A (1) b) (iv)</t>
  </si>
  <si>
    <t>5.5 Rhan A (1) a)</t>
  </si>
  <si>
    <t>5.6 Rhan A (1) a)</t>
  </si>
  <si>
    <t>T</t>
  </si>
  <si>
    <t>5.6 Rhan A (1) b)</t>
  </si>
  <si>
    <t>5.7 Rhan A (1) a)</t>
  </si>
  <si>
    <t xml:space="preserve">6.1 Rhan A (1) a) </t>
  </si>
  <si>
    <t>PP</t>
  </si>
  <si>
    <t xml:space="preserve">6.1 Rhan A (1) b) </t>
  </si>
  <si>
    <t>6.2 Rhan A (1) a)</t>
  </si>
  <si>
    <t>6.3 Rhan A (1) a) (i)</t>
  </si>
  <si>
    <t>6.3 Rhan A (1) a) (ii)</t>
  </si>
  <si>
    <t>6.4 Rhan A (1) a)</t>
  </si>
  <si>
    <t>TXT</t>
  </si>
  <si>
    <t>6.8 Rhan A (1) a)</t>
  </si>
  <si>
    <t>TAN</t>
  </si>
  <si>
    <t>6.8 Rhan A (1) b)</t>
  </si>
  <si>
    <t>SA</t>
  </si>
  <si>
    <t>6.8 Rhan A (1) c)</t>
  </si>
  <si>
    <t>6.8 Rhan A (1) d) i)</t>
  </si>
  <si>
    <t>FDM</t>
  </si>
  <si>
    <t>6.8 Rhan A (1) d) ii)</t>
  </si>
  <si>
    <t>6.8 Rhan A (1) d) iii) aa)</t>
  </si>
  <si>
    <t>6.8 Rhan A (1) d) iii) bb)</t>
  </si>
  <si>
    <t>6.8 Rhan A (1) e)</t>
  </si>
  <si>
    <t>6.10 Rhan A (1) a)</t>
  </si>
  <si>
    <t>PCC</t>
  </si>
  <si>
    <t xml:space="preserve">Angen meddwl am sut i wneud papur, cyfanswm cynhwysedd y safle?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</si>
</sst>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5" formatCode="&quot;£&quot;#,##0;\-&quot;£&quot;#,##0"/>
    <numFmt numFmtId="6" formatCode="&quot;£&quot;#,##0;[Red]\-&quot;£&quot;#,##0"/>
    <numFmt numFmtId="42" formatCode="_-&quot;£&quot;* #,##0_-;\-&quot;£&quot;* #,##0_-;_-&quot;£&quot;* &quot;-&quot;_-;_-@_-"/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0.0"/>
    <numFmt numFmtId="165" formatCode="&quot;£&quot;#,##0"/>
  </numFmts>
  <fonts count="4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4"/>
      <color indexed="12"/>
      <name val="Arial"/>
      <family val="2"/>
    </font>
    <font>
      <b/>
      <sz val="16"/>
      <color indexed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color indexed="10"/>
      <name val="Arial"/>
      <family val="2"/>
    </font>
    <font>
      <sz val="8"/>
      <color indexed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color indexed="10"/>
      <name val="Arial"/>
      <family val="2"/>
    </font>
    <font>
      <b/>
      <sz val="10"/>
      <color indexed="42"/>
      <name val="Arial"/>
      <family val="2"/>
    </font>
    <font>
      <sz val="9"/>
      <name val="Tahoma"/>
      <family val="2"/>
    </font>
    <font>
      <u/>
      <sz val="9"/>
      <color indexed="12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trike/>
      <sz val="11"/>
      <color theme="1"/>
      <name val="Calibri"/>
      <family val="2"/>
      <scheme val="minor"/>
    </font>
    <font>
      <b/>
      <sz val="9"/>
      <name val="Tahoma"/>
      <family val="2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indexed="12"/>
      <name val="Arial"/>
      <family val="2"/>
    </font>
    <font>
      <b/>
      <sz val="12"/>
      <color theme="1"/>
      <name val="Calibri"/>
      <family val="2"/>
      <scheme val="minor"/>
    </font>
    <font>
      <sz val="11"/>
      <color theme="8" tint="0.79995117038483843"/>
      <name val="Calibri"/>
      <family val="2"/>
      <scheme val="minor"/>
    </font>
    <font>
      <b/>
      <sz val="12"/>
      <color theme="1"/>
      <name val="Arial"/>
      <family val="2"/>
    </font>
    <font>
      <sz val="10"/>
      <name val="Calibri"/>
      <family val="2"/>
      <scheme val="minor"/>
    </font>
    <font>
      <sz val="12"/>
      <name val="Arial"/>
      <family val="2"/>
    </font>
    <font>
      <sz val="9"/>
      <color indexed="12"/>
      <name val="Arial"/>
      <family val="2"/>
    </font>
    <font>
      <sz val="11"/>
      <color rgb="FF000000"/>
      <name val="Calibri"/>
      <family val="2"/>
    </font>
    <font>
      <u/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2"/>
      <color rgb="FF000000"/>
      <name val="Calibri"/>
      <family val="2"/>
    </font>
    <font>
      <sz val="10"/>
      <color rgb="FF000000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</font>
    <font>
      <b/>
      <sz val="12"/>
      <color theme="1"/>
      <name val="Calibri"/>
      <family val="2"/>
    </font>
    <font>
      <b/>
      <sz val="10"/>
      <color theme="1"/>
      <name val="Calibri"/>
      <family val="2"/>
    </font>
  </fonts>
  <fills count="18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DFD2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rgb="FFB4C7E7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44" fontId="39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3" fillId="0" borderId="0" applyNumberFormat="0" applyFill="0" applyBorder="0">
      <protection locked="0"/>
    </xf>
  </cellStyleXfs>
  <cellXfs count="475">
    <xf numFmtId="0" fontId="0" fillId="0" borderId="0" xfId="0"/>
    <xf numFmtId="0" fontId="0" fillId="16" borderId="16" xfId="0" applyFill="1" applyBorder="1" applyAlignment="1">
      <alignment horizontal="center"/>
    </xf>
    <xf numFmtId="0" fontId="0" fillId="16" borderId="15" xfId="0" applyFill="1" applyBorder="1" applyAlignment="1">
      <alignment horizontal="center"/>
    </xf>
    <xf numFmtId="0" fontId="0" fillId="0" borderId="0" xfId="0" applyAlignment="1">
      <alignment horizontal="center"/>
    </xf>
    <xf numFmtId="0" fontId="16" fillId="0" borderId="0" xfId="0" applyFont="1"/>
    <xf numFmtId="0" fontId="0" fillId="2" borderId="0" xfId="0" applyFill="1"/>
    <xf numFmtId="0" fontId="0" fillId="0" borderId="3" xfId="0" applyBorder="1"/>
    <xf numFmtId="0" fontId="18" fillId="0" borderId="0" xfId="0" applyFont="1"/>
    <xf numFmtId="0" fontId="0" fillId="6" borderId="0" xfId="0" applyFill="1"/>
    <xf numFmtId="0" fontId="0" fillId="0" borderId="0" xfId="0" applyAlignment="1">
      <alignment wrapText="1"/>
    </xf>
    <xf numFmtId="3" fontId="0" fillId="0" borderId="0" xfId="0" applyNumberFormat="1"/>
    <xf numFmtId="0" fontId="0" fillId="6" borderId="4" xfId="0" applyFill="1" applyBorder="1" applyAlignment="1">
      <alignment horizontal="left" vertical="top" wrapText="1"/>
    </xf>
    <xf numFmtId="0" fontId="0" fillId="0" borderId="3" xfId="0" applyBorder="1" applyAlignment="1">
      <alignment wrapText="1"/>
    </xf>
    <xf numFmtId="0" fontId="0" fillId="6" borderId="3" xfId="0" applyFill="1" applyBorder="1"/>
    <xf numFmtId="0" fontId="13" fillId="2" borderId="0" xfId="6" applyFill="1" applyProtection="1"/>
    <xf numFmtId="0" fontId="0" fillId="9" borderId="8" xfId="0" applyFill="1" applyBorder="1"/>
    <xf numFmtId="0" fontId="16" fillId="9" borderId="8" xfId="0" applyFont="1" applyFill="1" applyBorder="1"/>
    <xf numFmtId="0" fontId="0" fillId="9" borderId="9" xfId="0" applyFill="1" applyBorder="1"/>
    <xf numFmtId="0" fontId="0" fillId="9" borderId="0" xfId="0" applyFill="1"/>
    <xf numFmtId="0" fontId="0" fillId="9" borderId="10" xfId="0" applyFill="1" applyBorder="1"/>
    <xf numFmtId="0" fontId="0" fillId="9" borderId="11" xfId="0" applyFill="1" applyBorder="1"/>
    <xf numFmtId="0" fontId="3" fillId="9" borderId="11" xfId="0" applyFont="1" applyFill="1" applyBorder="1"/>
    <xf numFmtId="0" fontId="4" fillId="9" borderId="9" xfId="0" applyFont="1" applyFill="1" applyBorder="1"/>
    <xf numFmtId="0" fontId="4" fillId="9" borderId="0" xfId="0" applyFont="1" applyFill="1"/>
    <xf numFmtId="0" fontId="0" fillId="9" borderId="12" xfId="0" applyFill="1" applyBorder="1"/>
    <xf numFmtId="0" fontId="0" fillId="9" borderId="13" xfId="0" applyFill="1" applyBorder="1"/>
    <xf numFmtId="0" fontId="16" fillId="9" borderId="13" xfId="0" applyFont="1" applyFill="1" applyBorder="1"/>
    <xf numFmtId="0" fontId="0" fillId="9" borderId="14" xfId="0" applyFill="1" applyBorder="1"/>
    <xf numFmtId="0" fontId="3" fillId="9" borderId="0" xfId="0" applyFont="1" applyFill="1"/>
    <xf numFmtId="0" fontId="5" fillId="9" borderId="0" xfId="0" applyFont="1" applyFill="1" applyAlignment="1">
      <alignment horizontal="left" vertical="center" wrapText="1"/>
    </xf>
    <xf numFmtId="0" fontId="16" fillId="9" borderId="0" xfId="0" applyFont="1" applyFill="1"/>
    <xf numFmtId="0" fontId="3" fillId="9" borderId="0" xfId="0" applyFont="1" applyFill="1" applyAlignment="1">
      <alignment wrapText="1"/>
    </xf>
    <xf numFmtId="0" fontId="6" fillId="9" borderId="0" xfId="0" applyFont="1" applyFill="1" applyAlignment="1">
      <alignment vertical="center" wrapText="1"/>
    </xf>
    <xf numFmtId="0" fontId="7" fillId="9" borderId="0" xfId="0" applyFont="1" applyFill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left" vertical="top" wrapText="1"/>
    </xf>
    <xf numFmtId="0" fontId="0" fillId="9" borderId="13" xfId="0" applyFill="1" applyBorder="1" applyAlignment="1">
      <alignment horizontal="center"/>
    </xf>
    <xf numFmtId="0" fontId="0" fillId="9" borderId="11" xfId="0" applyFill="1" applyBorder="1" applyProtection="1">
      <protection hidden="1"/>
    </xf>
    <xf numFmtId="0" fontId="4" fillId="9" borderId="13" xfId="0" applyFont="1" applyFill="1" applyBorder="1" applyAlignment="1">
      <alignment horizontal="center"/>
    </xf>
    <xf numFmtId="0" fontId="9" fillId="9" borderId="0" xfId="0" applyFont="1" applyFill="1" applyAlignment="1">
      <alignment horizontal="center"/>
    </xf>
    <xf numFmtId="0" fontId="0" fillId="9" borderId="0" xfId="0" applyFill="1" applyAlignment="1">
      <alignment horizontal="left"/>
    </xf>
    <xf numFmtId="0" fontId="0" fillId="9" borderId="0" xfId="0" applyFill="1" applyProtection="1">
      <protection locked="0"/>
    </xf>
    <xf numFmtId="0" fontId="0" fillId="9" borderId="0" xfId="0" applyFill="1" applyAlignment="1">
      <alignment vertical="center" wrapText="1"/>
    </xf>
    <xf numFmtId="0" fontId="0" fillId="9" borderId="18" xfId="0" applyFill="1" applyBorder="1"/>
    <xf numFmtId="165" fontId="0" fillId="12" borderId="0" xfId="0" applyNumberFormat="1" applyFill="1"/>
    <xf numFmtId="0" fontId="0" fillId="13" borderId="0" xfId="0" applyFill="1"/>
    <xf numFmtId="0" fontId="17" fillId="13" borderId="0" xfId="0" applyFont="1" applyFill="1"/>
    <xf numFmtId="0" fontId="0" fillId="9" borderId="9" xfId="0" applyFill="1" applyBorder="1" applyAlignment="1">
      <alignment wrapText="1"/>
    </xf>
    <xf numFmtId="0" fontId="4" fillId="9" borderId="16" xfId="0" applyFont="1" applyFill="1" applyBorder="1" applyAlignment="1">
      <alignment vertical="center" wrapText="1"/>
    </xf>
    <xf numFmtId="0" fontId="20" fillId="3" borderId="0" xfId="0" applyFont="1" applyFill="1" applyAlignment="1">
      <alignment horizontal="center" wrapText="1"/>
    </xf>
    <xf numFmtId="0" fontId="0" fillId="9" borderId="9" xfId="0" applyFill="1" applyBorder="1" applyAlignment="1">
      <alignment horizontal="center" vertical="top" wrapText="1"/>
    </xf>
    <xf numFmtId="0" fontId="0" fillId="14" borderId="0" xfId="0" applyFill="1"/>
    <xf numFmtId="0" fontId="0" fillId="14" borderId="17" xfId="0" applyFill="1" applyBorder="1"/>
    <xf numFmtId="0" fontId="0" fillId="14" borderId="0" xfId="0" applyFill="1" applyAlignment="1">
      <alignment wrapText="1"/>
    </xf>
    <xf numFmtId="0" fontId="0" fillId="14" borderId="0" xfId="0" applyFill="1" applyAlignment="1">
      <alignment horizontal="center" vertical="top" wrapText="1"/>
    </xf>
    <xf numFmtId="0" fontId="0" fillId="14" borderId="13" xfId="0" applyFill="1" applyBorder="1"/>
    <xf numFmtId="0" fontId="4" fillId="9" borderId="0" xfId="0" applyFont="1" applyFill="1" applyAlignment="1">
      <alignment horizontal="center"/>
    </xf>
    <xf numFmtId="0" fontId="0" fillId="4" borderId="0" xfId="0" applyFill="1"/>
    <xf numFmtId="165" fontId="0" fillId="4" borderId="0" xfId="0" applyNumberFormat="1" applyFill="1"/>
    <xf numFmtId="0" fontId="27" fillId="9" borderId="0" xfId="0" applyFont="1" applyFill="1" applyAlignment="1">
      <alignment horizontal="center" vertical="center"/>
    </xf>
    <xf numFmtId="165" fontId="0" fillId="4" borderId="0" xfId="0" applyNumberFormat="1" applyFill="1" applyAlignment="1">
      <alignment horizontal="center"/>
    </xf>
    <xf numFmtId="165" fontId="0" fillId="4" borderId="0" xfId="0" applyNumberFormat="1" applyFill="1" applyAlignment="1">
      <alignment horizontal="center" wrapText="1"/>
    </xf>
    <xf numFmtId="165" fontId="0" fillId="4" borderId="0" xfId="0" applyNumberFormat="1" applyFill="1" applyAlignment="1">
      <alignment wrapText="1"/>
    </xf>
    <xf numFmtId="1" fontId="0" fillId="12" borderId="0" xfId="0" applyNumberFormat="1" applyFill="1"/>
    <xf numFmtId="0" fontId="0" fillId="13" borderId="13" xfId="0" applyFill="1" applyBorder="1"/>
    <xf numFmtId="0" fontId="21" fillId="9" borderId="13" xfId="0" applyFont="1" applyFill="1" applyBorder="1"/>
    <xf numFmtId="0" fontId="0" fillId="9" borderId="0" xfId="0" applyFill="1" applyAlignment="1">
      <alignment horizontal="center"/>
    </xf>
    <xf numFmtId="0" fontId="6" fillId="9" borderId="0" xfId="0" applyFont="1" applyFill="1" applyAlignment="1">
      <alignment horizontal="center" vertical="center" wrapText="1"/>
    </xf>
    <xf numFmtId="0" fontId="0" fillId="6" borderId="1" xfId="0" applyFill="1" applyBorder="1" applyAlignment="1" applyProtection="1">
      <alignment horizontal="left" vertical="top" wrapText="1"/>
      <protection locked="0"/>
    </xf>
    <xf numFmtId="0" fontId="0" fillId="6" borderId="19" xfId="0" applyFill="1" applyBorder="1" applyAlignment="1" applyProtection="1">
      <alignment horizontal="left" vertical="top" wrapText="1"/>
      <protection locked="0"/>
    </xf>
    <xf numFmtId="0" fontId="0" fillId="6" borderId="1" xfId="0" applyFill="1" applyBorder="1" applyAlignment="1" applyProtection="1">
      <alignment horizontal="center" vertical="top" wrapText="1"/>
      <protection locked="0"/>
    </xf>
    <xf numFmtId="0" fontId="0" fillId="6" borderId="19" xfId="0" applyFill="1" applyBorder="1" applyAlignment="1" applyProtection="1">
      <alignment horizontal="center" vertical="top" wrapText="1"/>
      <protection locked="0"/>
    </xf>
    <xf numFmtId="0" fontId="22" fillId="9" borderId="21" xfId="0" applyFont="1" applyFill="1" applyBorder="1" applyAlignment="1">
      <alignment vertical="center"/>
    </xf>
    <xf numFmtId="0" fontId="22" fillId="9" borderId="0" xfId="0" applyFont="1" applyFill="1" applyAlignment="1">
      <alignment vertical="center"/>
    </xf>
    <xf numFmtId="0" fontId="8" fillId="4" borderId="21" xfId="0" applyFont="1" applyFill="1" applyBorder="1" applyAlignment="1">
      <alignment vertical="center"/>
    </xf>
    <xf numFmtId="0" fontId="8" fillId="4" borderId="0" xfId="0" applyFont="1" applyFill="1" applyAlignment="1">
      <alignment vertical="center"/>
    </xf>
    <xf numFmtId="0" fontId="8" fillId="9" borderId="0" xfId="0" applyFont="1" applyFill="1" applyAlignment="1">
      <alignment vertical="center"/>
    </xf>
    <xf numFmtId="0" fontId="8" fillId="9" borderId="0" xfId="0" applyFont="1" applyFill="1" applyAlignment="1">
      <alignment horizontal="center" vertical="center"/>
    </xf>
    <xf numFmtId="0" fontId="0" fillId="9" borderId="8" xfId="0" applyFill="1" applyBorder="1" applyAlignment="1">
      <alignment horizontal="center"/>
    </xf>
    <xf numFmtId="0" fontId="20" fillId="9" borderId="0" xfId="0" applyFont="1" applyFill="1" applyAlignment="1">
      <alignment horizontal="center" wrapText="1"/>
    </xf>
    <xf numFmtId="0" fontId="0" fillId="9" borderId="0" xfId="0" applyFill="1" applyAlignment="1">
      <alignment wrapText="1"/>
    </xf>
    <xf numFmtId="0" fontId="9" fillId="12" borderId="1" xfId="0" applyFont="1" applyFill="1" applyBorder="1" applyAlignment="1">
      <alignment horizontal="center"/>
    </xf>
    <xf numFmtId="0" fontId="10" fillId="9" borderId="0" xfId="0" applyFont="1" applyFill="1" applyAlignment="1">
      <alignment horizontal="center"/>
    </xf>
    <xf numFmtId="0" fontId="11" fillId="9" borderId="1" xfId="0" applyFont="1" applyFill="1" applyBorder="1" applyAlignment="1">
      <alignment horizontal="center" vertical="center" wrapText="1"/>
    </xf>
    <xf numFmtId="0" fontId="14" fillId="9" borderId="1" xfId="0" applyFont="1" applyFill="1" applyBorder="1" applyAlignment="1">
      <alignment horizontal="center" vertical="center" wrapText="1"/>
    </xf>
    <xf numFmtId="0" fontId="14" fillId="9" borderId="1" xfId="0" applyFont="1" applyFill="1" applyBorder="1" applyAlignment="1">
      <alignment vertical="center"/>
    </xf>
    <xf numFmtId="0" fontId="14" fillId="9" borderId="1" xfId="0" applyFont="1" applyFill="1" applyBorder="1" applyAlignment="1">
      <alignment vertical="center" wrapText="1"/>
    </xf>
    <xf numFmtId="0" fontId="4" fillId="9" borderId="0" xfId="0" applyFont="1" applyFill="1" applyAlignment="1">
      <alignment horizontal="center" vertical="center" wrapText="1"/>
    </xf>
    <xf numFmtId="0" fontId="4" fillId="9" borderId="22" xfId="0" applyFont="1" applyFill="1" applyBorder="1" applyAlignment="1">
      <alignment horizontal="left" vertical="top" wrapText="1"/>
    </xf>
    <xf numFmtId="0" fontId="4" fillId="9" borderId="16" xfId="0" applyFont="1" applyFill="1" applyBorder="1" applyAlignment="1">
      <alignment horizontal="center"/>
    </xf>
    <xf numFmtId="0" fontId="0" fillId="12" borderId="1" xfId="0" applyFill="1" applyBorder="1" applyAlignment="1">
      <alignment horizontal="center" vertical="top" wrapText="1"/>
    </xf>
    <xf numFmtId="0" fontId="0" fillId="9" borderId="0" xfId="0" applyFill="1" applyAlignment="1">
      <alignment horizontal="center" vertical="top" wrapText="1"/>
    </xf>
    <xf numFmtId="0" fontId="0" fillId="12" borderId="0" xfId="0" applyFill="1" applyAlignment="1">
      <alignment horizontal="center" vertical="center"/>
    </xf>
    <xf numFmtId="0" fontId="0" fillId="9" borderId="0" xfId="0" applyFill="1" applyAlignment="1">
      <alignment horizontal="center" vertical="center"/>
    </xf>
    <xf numFmtId="0" fontId="10" fillId="9" borderId="0" xfId="0" applyFont="1" applyFill="1" applyAlignment="1">
      <alignment horizontal="center" vertical="top"/>
    </xf>
    <xf numFmtId="0" fontId="4" fillId="9" borderId="0" xfId="0" applyFont="1" applyFill="1" applyAlignment="1">
      <alignment horizontal="left"/>
    </xf>
    <xf numFmtId="0" fontId="9" fillId="9" borderId="0" xfId="0" applyFont="1" applyFill="1" applyAlignment="1">
      <alignment horizontal="left"/>
    </xf>
    <xf numFmtId="0" fontId="9" fillId="9" borderId="0" xfId="0" applyFont="1" applyFill="1"/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9" fillId="2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9" xfId="0" applyFill="1" applyBorder="1" applyAlignment="1" applyProtection="1">
      <alignment horizontal="left" vertical="top" wrapText="1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3" xfId="0" applyFill="1" applyBorder="1" applyAlignment="1" applyProtection="1">
      <alignment horizontal="center"/>
      <protection locked="0"/>
    </xf>
    <xf numFmtId="0" fontId="23" fillId="2" borderId="1" xfId="0" applyFont="1" applyFill="1" applyBorder="1" applyAlignment="1" applyProtection="1">
      <alignment horizontal="center" vertical="center"/>
      <protection locked="0"/>
    </xf>
    <xf numFmtId="0" fontId="0" fillId="13" borderId="8" xfId="0" applyFill="1" applyBorder="1"/>
    <xf numFmtId="0" fontId="17" fillId="13" borderId="8" xfId="0" applyFont="1" applyFill="1" applyBorder="1"/>
    <xf numFmtId="0" fontId="21" fillId="9" borderId="0" xfId="0" applyFont="1" applyFill="1" applyAlignment="1">
      <alignment horizontal="center"/>
    </xf>
    <xf numFmtId="0" fontId="16" fillId="13" borderId="0" xfId="0" applyFont="1" applyFill="1"/>
    <xf numFmtId="0" fontId="0" fillId="9" borderId="9" xfId="0" applyFill="1" applyBorder="1" applyAlignment="1">
      <alignment horizontal="center" wrapText="1"/>
    </xf>
    <xf numFmtId="0" fontId="0" fillId="9" borderId="24" xfId="0" applyFill="1" applyBorder="1"/>
    <xf numFmtId="0" fontId="0" fillId="13" borderId="24" xfId="0" applyFill="1" applyBorder="1"/>
    <xf numFmtId="0" fontId="0" fillId="12" borderId="16" xfId="0" applyFill="1" applyBorder="1" applyAlignment="1">
      <alignment horizontal="center"/>
    </xf>
    <xf numFmtId="0" fontId="17" fillId="9" borderId="0" xfId="0" applyFont="1" applyFill="1"/>
    <xf numFmtId="0" fontId="16" fillId="13" borderId="0" xfId="0" applyFont="1" applyFill="1" applyAlignment="1">
      <alignment vertical="center"/>
    </xf>
    <xf numFmtId="0" fontId="0" fillId="9" borderId="25" xfId="0" applyFill="1" applyBorder="1"/>
    <xf numFmtId="0" fontId="18" fillId="13" borderId="25" xfId="0" applyFont="1" applyFill="1" applyBorder="1"/>
    <xf numFmtId="0" fontId="0" fillId="9" borderId="9" xfId="0" applyFill="1" applyBorder="1" applyAlignment="1">
      <alignment horizontal="center" vertical="center" wrapText="1"/>
    </xf>
    <xf numFmtId="0" fontId="14" fillId="9" borderId="0" xfId="0" applyFont="1" applyFill="1" applyAlignment="1">
      <alignment vertical="center" wrapText="1"/>
    </xf>
    <xf numFmtId="0" fontId="14" fillId="9" borderId="0" xfId="0" applyFont="1" applyFill="1" applyAlignment="1">
      <alignment horizontal="center" vertical="center" wrapText="1"/>
    </xf>
    <xf numFmtId="0" fontId="0" fillId="9" borderId="25" xfId="0" applyFill="1" applyBorder="1" applyAlignment="1">
      <alignment wrapText="1"/>
    </xf>
    <xf numFmtId="0" fontId="0" fillId="9" borderId="25" xfId="0" applyFill="1" applyBorder="1" applyAlignment="1">
      <alignment horizontal="center"/>
    </xf>
    <xf numFmtId="0" fontId="0" fillId="12" borderId="23" xfId="0" applyFill="1" applyBorder="1" applyAlignment="1">
      <alignment horizontal="center"/>
    </xf>
    <xf numFmtId="0" fontId="0" fillId="4" borderId="20" xfId="0" applyFill="1" applyBorder="1" applyAlignment="1">
      <alignment horizontal="left" vertical="center" wrapText="1"/>
    </xf>
    <xf numFmtId="0" fontId="17" fillId="9" borderId="0" xfId="0" applyFont="1" applyFill="1" applyAlignment="1">
      <alignment wrapText="1"/>
    </xf>
    <xf numFmtId="0" fontId="14" fillId="4" borderId="1" xfId="0" applyFont="1" applyFill="1" applyBorder="1" applyAlignment="1">
      <alignment horizontal="center" vertical="center" wrapText="1"/>
    </xf>
    <xf numFmtId="0" fontId="0" fillId="13" borderId="25" xfId="0" applyFill="1" applyBorder="1"/>
    <xf numFmtId="0" fontId="18" fillId="9" borderId="0" xfId="0" applyFont="1" applyFill="1"/>
    <xf numFmtId="0" fontId="17" fillId="13" borderId="24" xfId="0" applyFont="1" applyFill="1" applyBorder="1"/>
    <xf numFmtId="0" fontId="17" fillId="13" borderId="25" xfId="0" applyFont="1" applyFill="1" applyBorder="1"/>
    <xf numFmtId="6" fontId="17" fillId="13" borderId="0" xfId="0" applyNumberFormat="1" applyFont="1" applyFill="1"/>
    <xf numFmtId="0" fontId="0" fillId="9" borderId="24" xfId="0" applyFill="1" applyBorder="1" applyAlignment="1">
      <alignment wrapText="1"/>
    </xf>
    <xf numFmtId="0" fontId="17" fillId="9" borderId="24" xfId="0" applyFont="1" applyFill="1" applyBorder="1"/>
    <xf numFmtId="0" fontId="0" fillId="9" borderId="24" xfId="0" applyFill="1" applyBorder="1" applyAlignment="1">
      <alignment horizontal="center"/>
    </xf>
    <xf numFmtId="0" fontId="0" fillId="9" borderId="9" xfId="0" applyFill="1" applyBorder="1" applyAlignment="1">
      <alignment vertical="center" wrapText="1"/>
    </xf>
    <xf numFmtId="0" fontId="17" fillId="9" borderId="0" xfId="0" applyFont="1" applyFill="1" applyAlignment="1">
      <alignment horizontal="center" vertical="center" wrapText="1"/>
    </xf>
    <xf numFmtId="0" fontId="18" fillId="13" borderId="0" xfId="0" applyFont="1" applyFill="1"/>
    <xf numFmtId="0" fontId="0" fillId="9" borderId="0" xfId="0" applyFill="1" applyAlignment="1">
      <alignment horizontal="center" vertical="center" wrapText="1"/>
    </xf>
    <xf numFmtId="0" fontId="0" fillId="13" borderId="15" xfId="0" applyFill="1" applyBorder="1"/>
    <xf numFmtId="0" fontId="14" fillId="4" borderId="16" xfId="0" applyFont="1" applyFill="1" applyBorder="1" applyAlignment="1">
      <alignment horizontal="center"/>
    </xf>
    <xf numFmtId="165" fontId="14" fillId="9" borderId="0" xfId="0" applyNumberFormat="1" applyFont="1" applyFill="1"/>
    <xf numFmtId="0" fontId="0" fillId="9" borderId="0" xfId="0" applyFill="1" applyAlignment="1">
      <alignment horizontal="center" wrapText="1"/>
    </xf>
    <xf numFmtId="0" fontId="18" fillId="9" borderId="11" xfId="0" applyFont="1" applyFill="1" applyBorder="1"/>
    <xf numFmtId="0" fontId="0" fillId="13" borderId="25" xfId="0" applyFill="1" applyBorder="1" applyAlignment="1">
      <alignment horizontal="center" vertical="center"/>
    </xf>
    <xf numFmtId="0" fontId="14" fillId="12" borderId="4" xfId="0" applyFont="1" applyFill="1" applyBorder="1" applyAlignment="1">
      <alignment horizontal="center" vertical="center"/>
    </xf>
    <xf numFmtId="0" fontId="0" fillId="12" borderId="24" xfId="0" applyFill="1" applyBorder="1" applyAlignment="1">
      <alignment horizontal="center" vertical="center"/>
    </xf>
    <xf numFmtId="6" fontId="0" fillId="12" borderId="16" xfId="0" applyNumberFormat="1" applyFill="1" applyBorder="1"/>
    <xf numFmtId="165" fontId="0" fillId="12" borderId="19" xfId="0" applyNumberFormat="1" applyFill="1" applyBorder="1"/>
    <xf numFmtId="5" fontId="0" fillId="9" borderId="0" xfId="2" applyNumberFormat="1" applyFont="1" applyFill="1" applyBorder="1" applyAlignment="1" applyProtection="1">
      <alignment wrapText="1"/>
    </xf>
    <xf numFmtId="0" fontId="14" fillId="12" borderId="1" xfId="0" applyFont="1" applyFill="1" applyBorder="1" applyAlignment="1">
      <alignment horizontal="center" vertical="center"/>
    </xf>
    <xf numFmtId="0" fontId="0" fillId="12" borderId="20" xfId="0" applyFill="1" applyBorder="1" applyAlignment="1">
      <alignment horizontal="center" vertical="center"/>
    </xf>
    <xf numFmtId="165" fontId="0" fillId="12" borderId="1" xfId="0" applyNumberFormat="1" applyFill="1" applyBorder="1"/>
    <xf numFmtId="0" fontId="0" fillId="12" borderId="26" xfId="0" applyFill="1" applyBorder="1" applyAlignment="1">
      <alignment horizontal="center" vertical="center"/>
    </xf>
    <xf numFmtId="6" fontId="0" fillId="12" borderId="23" xfId="0" applyNumberFormat="1" applyFill="1" applyBorder="1"/>
    <xf numFmtId="165" fontId="0" fillId="12" borderId="4" xfId="0" applyNumberFormat="1" applyFill="1" applyBorder="1"/>
    <xf numFmtId="0" fontId="14" fillId="9" borderId="0" xfId="0" applyFont="1" applyFill="1" applyAlignment="1">
      <alignment horizontal="center" vertical="center"/>
    </xf>
    <xf numFmtId="165" fontId="14" fillId="15" borderId="1" xfId="0" applyNumberFormat="1" applyFont="1" applyFill="1" applyBorder="1" applyAlignment="1">
      <alignment vertical="center"/>
    </xf>
    <xf numFmtId="0" fontId="0" fillId="3" borderId="0" xfId="0" applyFill="1"/>
    <xf numFmtId="0" fontId="0" fillId="9" borderId="0" xfId="0" applyFill="1" applyAlignment="1">
      <alignment horizontal="left" wrapText="1"/>
    </xf>
    <xf numFmtId="165" fontId="0" fillId="12" borderId="1" xfId="0" applyNumberFormat="1" applyFill="1" applyBorder="1" applyAlignment="1">
      <alignment horizontal="center" vertical="center"/>
    </xf>
    <xf numFmtId="165" fontId="0" fillId="8" borderId="1" xfId="0" applyNumberFormat="1" applyFill="1" applyBorder="1" applyAlignment="1">
      <alignment horizontal="center" vertical="center" wrapText="1"/>
    </xf>
    <xf numFmtId="0" fontId="0" fillId="13" borderId="26" xfId="0" applyFill="1" applyBorder="1"/>
    <xf numFmtId="165" fontId="14" fillId="15" borderId="0" xfId="0" applyNumberFormat="1" applyFont="1" applyFill="1" applyAlignment="1">
      <alignment horizontal="center"/>
    </xf>
    <xf numFmtId="165" fontId="14" fillId="9" borderId="0" xfId="0" applyNumberFormat="1" applyFont="1" applyFill="1" applyAlignment="1">
      <alignment horizontal="center"/>
    </xf>
    <xf numFmtId="165" fontId="0" fillId="13" borderId="1" xfId="0" applyNumberFormat="1" applyFill="1" applyBorder="1" applyAlignment="1">
      <alignment horizontal="center"/>
    </xf>
    <xf numFmtId="165" fontId="21" fillId="15" borderId="0" xfId="0" applyNumberFormat="1" applyFont="1" applyFill="1"/>
    <xf numFmtId="0" fontId="21" fillId="9" borderId="0" xfId="0" applyFont="1" applyFill="1"/>
    <xf numFmtId="1" fontId="0" fillId="9" borderId="0" xfId="0" applyNumberFormat="1" applyFill="1"/>
    <xf numFmtId="0" fontId="14" fillId="9" borderId="0" xfId="0" applyFont="1" applyFill="1"/>
    <xf numFmtId="0" fontId="0" fillId="2" borderId="16" xfId="0" applyFill="1" applyBorder="1" applyAlignment="1" applyProtection="1">
      <alignment horizontal="left" wrapText="1"/>
      <protection locked="0"/>
    </xf>
    <xf numFmtId="0" fontId="14" fillId="9" borderId="0" xfId="0" applyFont="1" applyFill="1" applyAlignment="1">
      <alignment horizontal="center"/>
    </xf>
    <xf numFmtId="0" fontId="26" fillId="9" borderId="0" xfId="0" applyFont="1" applyFill="1"/>
    <xf numFmtId="0" fontId="16" fillId="10" borderId="0" xfId="0" applyFont="1" applyFill="1"/>
    <xf numFmtId="0" fontId="14" fillId="4" borderId="0" xfId="0" applyFont="1" applyFill="1"/>
    <xf numFmtId="0" fontId="14" fillId="4" borderId="4" xfId="0" applyFont="1" applyFill="1" applyBorder="1" applyAlignment="1">
      <alignment horizontal="center" vertical="center" wrapText="1"/>
    </xf>
    <xf numFmtId="0" fontId="8" fillId="9" borderId="0" xfId="0" applyFont="1" applyFill="1" applyAlignment="1">
      <alignment vertical="center" wrapText="1"/>
    </xf>
    <xf numFmtId="0" fontId="4" fillId="9" borderId="23" xfId="0" applyFont="1" applyFill="1" applyBorder="1" applyAlignment="1">
      <alignment horizontal="center" vertical="center" wrapText="1"/>
    </xf>
    <xf numFmtId="0" fontId="4" fillId="9" borderId="28" xfId="0" applyFont="1" applyFill="1" applyBorder="1" applyAlignment="1">
      <alignment horizontal="center" vertical="center" wrapText="1"/>
    </xf>
    <xf numFmtId="0" fontId="0" fillId="9" borderId="3" xfId="0" applyFill="1" applyBorder="1" applyAlignment="1">
      <alignment wrapText="1"/>
    </xf>
    <xf numFmtId="0" fontId="20" fillId="3" borderId="32" xfId="0" applyFont="1" applyFill="1" applyBorder="1" applyAlignment="1">
      <alignment horizontal="center" wrapText="1"/>
    </xf>
    <xf numFmtId="0" fontId="4" fillId="9" borderId="34" xfId="0" applyFont="1" applyFill="1" applyBorder="1" applyAlignment="1">
      <alignment horizontal="center"/>
    </xf>
    <xf numFmtId="0" fontId="4" fillId="9" borderId="30" xfId="0" applyFont="1" applyFill="1" applyBorder="1" applyAlignment="1">
      <alignment horizontal="center"/>
    </xf>
    <xf numFmtId="0" fontId="23" fillId="2" borderId="35" xfId="0" applyFont="1" applyFill="1" applyBorder="1" applyAlignment="1" applyProtection="1">
      <alignment wrapText="1"/>
      <protection locked="0"/>
    </xf>
    <xf numFmtId="0" fontId="0" fillId="6" borderId="20" xfId="0" applyFill="1" applyBorder="1" applyAlignment="1" applyProtection="1">
      <alignment horizontal="left" wrapText="1"/>
      <protection locked="0"/>
    </xf>
    <xf numFmtId="0" fontId="0" fillId="0" borderId="0" xfId="0" applyAlignment="1" applyProtection="1">
      <alignment wrapText="1"/>
      <protection locked="0"/>
    </xf>
    <xf numFmtId="0" fontId="4" fillId="9" borderId="0" xfId="0" applyFont="1" applyFill="1" applyAlignment="1">
      <alignment vertical="center"/>
    </xf>
    <xf numFmtId="165" fontId="0" fillId="12" borderId="13" xfId="0" applyNumberFormat="1" applyFill="1" applyBorder="1" applyAlignment="1">
      <alignment vertical="center"/>
    </xf>
    <xf numFmtId="0" fontId="14" fillId="12" borderId="1" xfId="0" applyFont="1" applyFill="1" applyBorder="1" applyAlignment="1">
      <alignment horizontal="center" vertical="center" wrapText="1"/>
    </xf>
    <xf numFmtId="0" fontId="0" fillId="9" borderId="24" xfId="0" applyFill="1" applyBorder="1" applyAlignment="1">
      <alignment vertical="center" wrapText="1"/>
    </xf>
    <xf numFmtId="0" fontId="0" fillId="9" borderId="28" xfId="0" applyFill="1" applyBorder="1" applyAlignment="1" applyProtection="1">
      <alignment horizontal="center"/>
      <protection locked="0"/>
    </xf>
    <xf numFmtId="0" fontId="14" fillId="12" borderId="16" xfId="0" applyFont="1" applyFill="1" applyBorder="1" applyAlignment="1">
      <alignment horizontal="center" wrapText="1"/>
    </xf>
    <xf numFmtId="0" fontId="14" fillId="12" borderId="16" xfId="0" applyFont="1" applyFill="1" applyBorder="1" applyAlignment="1">
      <alignment horizontal="center"/>
    </xf>
    <xf numFmtId="0" fontId="0" fillId="12" borderId="16" xfId="0" applyFill="1" applyBorder="1" applyAlignment="1">
      <alignment horizontal="center" vertical="center"/>
    </xf>
    <xf numFmtId="0" fontId="18" fillId="4" borderId="25" xfId="0" applyFont="1" applyFill="1" applyBorder="1"/>
    <xf numFmtId="165" fontId="14" fillId="4" borderId="23" xfId="0" applyNumberFormat="1" applyFont="1" applyFill="1" applyBorder="1"/>
    <xf numFmtId="0" fontId="18" fillId="4" borderId="15" xfId="0" applyFont="1" applyFill="1" applyBorder="1"/>
    <xf numFmtId="6" fontId="0" fillId="4" borderId="1" xfId="0" applyNumberFormat="1" applyFill="1" applyBorder="1"/>
    <xf numFmtId="0" fontId="23" fillId="2" borderId="4" xfId="0" applyFont="1" applyFill="1" applyBorder="1" applyAlignment="1" applyProtection="1">
      <alignment horizontal="center" vertical="center"/>
      <protection locked="0"/>
    </xf>
    <xf numFmtId="0" fontId="0" fillId="13" borderId="31" xfId="0" applyFill="1" applyBorder="1"/>
    <xf numFmtId="0" fontId="0" fillId="13" borderId="3" xfId="0" applyFill="1" applyBorder="1"/>
    <xf numFmtId="0" fontId="0" fillId="4" borderId="20" xfId="0" applyFill="1" applyBorder="1"/>
    <xf numFmtId="0" fontId="0" fillId="2" borderId="28" xfId="0" applyFill="1" applyBorder="1" applyAlignment="1" applyProtection="1">
      <alignment horizontal="center" vertical="center"/>
      <protection locked="0"/>
    </xf>
    <xf numFmtId="0" fontId="20" fillId="13" borderId="0" xfId="0" applyFont="1" applyFill="1"/>
    <xf numFmtId="0" fontId="0" fillId="9" borderId="0" xfId="0" applyFill="1" applyAlignment="1">
      <alignment vertical="top" wrapText="1"/>
    </xf>
    <xf numFmtId="0" fontId="0" fillId="9" borderId="3" xfId="0" applyFill="1" applyBorder="1"/>
    <xf numFmtId="0" fontId="0" fillId="9" borderId="2" xfId="0" applyFill="1" applyBorder="1"/>
    <xf numFmtId="0" fontId="14" fillId="16" borderId="27" xfId="0" applyFont="1" applyFill="1" applyBorder="1" applyAlignment="1">
      <alignment horizontal="center"/>
    </xf>
    <xf numFmtId="0" fontId="14" fillId="16" borderId="24" xfId="0" applyFont="1" applyFill="1" applyBorder="1" applyAlignment="1">
      <alignment horizontal="center"/>
    </xf>
    <xf numFmtId="0" fontId="0" fillId="16" borderId="24" xfId="0" applyFill="1" applyBorder="1"/>
    <xf numFmtId="0" fontId="0" fillId="16" borderId="28" xfId="0" applyFill="1" applyBorder="1"/>
    <xf numFmtId="0" fontId="0" fillId="16" borderId="31" xfId="0" applyFill="1" applyBorder="1"/>
    <xf numFmtId="0" fontId="0" fillId="16" borderId="0" xfId="0" applyFill="1"/>
    <xf numFmtId="0" fontId="0" fillId="16" borderId="3" xfId="0" applyFill="1" applyBorder="1"/>
    <xf numFmtId="0" fontId="0" fillId="16" borderId="2" xfId="0" applyFill="1" applyBorder="1"/>
    <xf numFmtId="0" fontId="0" fillId="16" borderId="20" xfId="0" applyFill="1" applyBorder="1"/>
    <xf numFmtId="0" fontId="0" fillId="16" borderId="15" xfId="0" applyFill="1" applyBorder="1"/>
    <xf numFmtId="0" fontId="0" fillId="16" borderId="31" xfId="0" applyFill="1" applyBorder="1" applyAlignment="1">
      <alignment horizontal="center"/>
    </xf>
    <xf numFmtId="0" fontId="0" fillId="16" borderId="0" xfId="0" applyFill="1" applyAlignment="1">
      <alignment horizontal="center"/>
    </xf>
    <xf numFmtId="0" fontId="0" fillId="16" borderId="3" xfId="0" applyFill="1" applyBorder="1" applyAlignment="1">
      <alignment horizontal="center"/>
    </xf>
    <xf numFmtId="0" fontId="0" fillId="16" borderId="26" xfId="0" applyFill="1" applyBorder="1" applyAlignment="1">
      <alignment horizontal="center"/>
    </xf>
    <xf numFmtId="0" fontId="0" fillId="16" borderId="26" xfId="0" applyFill="1" applyBorder="1"/>
    <xf numFmtId="0" fontId="0" fillId="16" borderId="25" xfId="0" applyFill="1" applyBorder="1"/>
    <xf numFmtId="0" fontId="0" fillId="16" borderId="20" xfId="0" applyFill="1" applyBorder="1" applyAlignment="1">
      <alignment horizontal="center"/>
    </xf>
    <xf numFmtId="0" fontId="0" fillId="16" borderId="23" xfId="0" applyFill="1" applyBorder="1"/>
    <xf numFmtId="0" fontId="0" fillId="9" borderId="4" xfId="0" applyFill="1" applyBorder="1"/>
    <xf numFmtId="0" fontId="14" fillId="9" borderId="3" xfId="0" applyFont="1" applyFill="1" applyBorder="1" applyAlignment="1">
      <alignment vertical="top"/>
    </xf>
    <xf numFmtId="0" fontId="0" fillId="9" borderId="4" xfId="0" applyFill="1" applyBorder="1" applyAlignment="1">
      <alignment vertical="center"/>
    </xf>
    <xf numFmtId="164" fontId="4" fillId="9" borderId="21" xfId="0" applyNumberFormat="1" applyFont="1" applyFill="1" applyBorder="1"/>
    <xf numFmtId="0" fontId="4" fillId="9" borderId="29" xfId="0" quotePrefix="1" applyFont="1" applyFill="1" applyBorder="1" applyAlignment="1">
      <alignment horizontal="left"/>
    </xf>
    <xf numFmtId="0" fontId="16" fillId="9" borderId="0" xfId="0" applyFont="1" applyFill="1" applyAlignment="1">
      <alignment wrapText="1"/>
    </xf>
    <xf numFmtId="0" fontId="14" fillId="4" borderId="16" xfId="0" applyFont="1" applyFill="1" applyBorder="1" applyAlignment="1">
      <alignment horizontal="center" vertical="center" wrapText="1"/>
    </xf>
    <xf numFmtId="0" fontId="14" fillId="4" borderId="23" xfId="0" applyFont="1" applyFill="1" applyBorder="1" applyAlignment="1">
      <alignment horizontal="center" vertical="center" wrapText="1"/>
    </xf>
    <xf numFmtId="0" fontId="14" fillId="4" borderId="0" xfId="0" applyFont="1" applyFill="1" applyAlignment="1">
      <alignment horizontal="center" vertical="center" wrapText="1"/>
    </xf>
    <xf numFmtId="0" fontId="14" fillId="4" borderId="15" xfId="0" applyFont="1" applyFill="1" applyBorder="1" applyAlignment="1">
      <alignment horizontal="center" vertical="center" wrapText="1"/>
    </xf>
    <xf numFmtId="164" fontId="4" fillId="9" borderId="0" xfId="0" applyNumberFormat="1" applyFont="1" applyFill="1"/>
    <xf numFmtId="0" fontId="4" fillId="9" borderId="0" xfId="0" quotePrefix="1" applyFont="1" applyFill="1" applyAlignment="1">
      <alignment horizontal="left"/>
    </xf>
    <xf numFmtId="0" fontId="4" fillId="9" borderId="9" xfId="0" applyFont="1" applyFill="1" applyBorder="1" applyAlignment="1">
      <alignment horizontal="center"/>
    </xf>
    <xf numFmtId="0" fontId="4" fillId="9" borderId="21" xfId="0" quotePrefix="1" applyFont="1" applyFill="1" applyBorder="1" applyAlignment="1">
      <alignment horizontal="left"/>
    </xf>
    <xf numFmtId="0" fontId="0" fillId="16" borderId="31" xfId="0" applyFill="1" applyBorder="1" applyAlignment="1">
      <alignment wrapText="1"/>
    </xf>
    <xf numFmtId="0" fontId="20" fillId="16" borderId="0" xfId="0" applyFont="1" applyFill="1" applyAlignment="1">
      <alignment horizontal="center" wrapText="1"/>
    </xf>
    <xf numFmtId="0" fontId="0" fillId="16" borderId="0" xfId="0" applyFill="1" applyAlignment="1">
      <alignment wrapText="1"/>
    </xf>
    <xf numFmtId="0" fontId="0" fillId="16" borderId="8" xfId="0" applyFill="1" applyBorder="1"/>
    <xf numFmtId="0" fontId="20" fillId="16" borderId="8" xfId="0" applyFont="1" applyFill="1" applyBorder="1" applyAlignment="1">
      <alignment horizontal="center" wrapText="1"/>
    </xf>
    <xf numFmtId="0" fontId="9" fillId="9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0" fillId="2" borderId="0" xfId="6" applyFont="1" applyFill="1" applyProtection="1"/>
    <xf numFmtId="0" fontId="33" fillId="9" borderId="17" xfId="0" applyFont="1" applyFill="1" applyBorder="1" applyAlignment="1">
      <alignment horizontal="center"/>
    </xf>
    <xf numFmtId="164" fontId="33" fillId="9" borderId="21" xfId="0" applyNumberFormat="1" applyFont="1" applyFill="1" applyBorder="1"/>
    <xf numFmtId="0" fontId="33" fillId="9" borderId="1" xfId="0" applyFont="1" applyFill="1" applyBorder="1" applyAlignment="1">
      <alignment horizontal="center" vertical="center"/>
    </xf>
    <xf numFmtId="0" fontId="33" fillId="9" borderId="1" xfId="0" applyFont="1" applyFill="1" applyBorder="1"/>
    <xf numFmtId="0" fontId="31" fillId="9" borderId="1" xfId="0" applyFont="1" applyFill="1" applyBorder="1"/>
    <xf numFmtId="0" fontId="31" fillId="9" borderId="1" xfId="0" applyFont="1" applyFill="1" applyBorder="1" applyAlignment="1">
      <alignment horizontal="left" wrapText="1"/>
    </xf>
    <xf numFmtId="0" fontId="33" fillId="9" borderId="19" xfId="0" applyFont="1" applyFill="1" applyBorder="1"/>
    <xf numFmtId="0" fontId="31" fillId="9" borderId="19" xfId="0" applyFont="1" applyFill="1" applyBorder="1" applyAlignment="1">
      <alignment wrapText="1"/>
    </xf>
    <xf numFmtId="0" fontId="31" fillId="9" borderId="2" xfId="0" applyFont="1" applyFill="1" applyBorder="1"/>
    <xf numFmtId="0" fontId="31" fillId="9" borderId="2" xfId="0" applyFont="1" applyFill="1" applyBorder="1" applyAlignment="1">
      <alignment wrapText="1"/>
    </xf>
    <xf numFmtId="0" fontId="31" fillId="16" borderId="27" xfId="0" applyFont="1" applyFill="1" applyBorder="1"/>
    <xf numFmtId="0" fontId="31" fillId="16" borderId="28" xfId="0" applyFont="1" applyFill="1" applyBorder="1" applyAlignment="1">
      <alignment horizontal="center"/>
    </xf>
    <xf numFmtId="0" fontId="31" fillId="16" borderId="31" xfId="0" applyFont="1" applyFill="1" applyBorder="1"/>
    <xf numFmtId="0" fontId="31" fillId="16" borderId="3" xfId="0" applyFont="1" applyFill="1" applyBorder="1" applyAlignment="1">
      <alignment horizontal="center"/>
    </xf>
    <xf numFmtId="0" fontId="31" fillId="16" borderId="25" xfId="0" applyFont="1" applyFill="1" applyBorder="1" applyAlignment="1">
      <alignment horizontal="center"/>
    </xf>
    <xf numFmtId="16" fontId="31" fillId="16" borderId="25" xfId="0" applyNumberFormat="1" applyFont="1" applyFill="1" applyBorder="1" applyAlignment="1">
      <alignment horizontal="center"/>
    </xf>
    <xf numFmtId="0" fontId="31" fillId="16" borderId="23" xfId="0" applyFont="1" applyFill="1" applyBorder="1" applyAlignment="1">
      <alignment horizontal="center"/>
    </xf>
    <xf numFmtId="0" fontId="31" fillId="16" borderId="23" xfId="0" applyFont="1" applyFill="1" applyBorder="1"/>
    <xf numFmtId="0" fontId="31" fillId="9" borderId="2" xfId="0" applyFont="1" applyFill="1" applyBorder="1" applyAlignment="1">
      <alignment vertical="center"/>
    </xf>
    <xf numFmtId="0" fontId="31" fillId="16" borderId="0" xfId="0" applyFont="1" applyFill="1"/>
    <xf numFmtId="0" fontId="33" fillId="9" borderId="2" xfId="0" applyFont="1" applyFill="1" applyBorder="1"/>
    <xf numFmtId="0" fontId="33" fillId="9" borderId="2" xfId="0" applyFont="1" applyFill="1" applyBorder="1" applyAlignment="1">
      <alignment vertical="top"/>
    </xf>
    <xf numFmtId="0" fontId="31" fillId="9" borderId="4" xfId="0" applyFont="1" applyFill="1" applyBorder="1" applyAlignment="1">
      <alignment wrapText="1"/>
    </xf>
    <xf numFmtId="0" fontId="31" fillId="9" borderId="19" xfId="0" applyFont="1" applyFill="1" applyBorder="1" applyAlignment="1">
      <alignment vertical="center"/>
    </xf>
    <xf numFmtId="0" fontId="31" fillId="9" borderId="4" xfId="0" applyFont="1" applyFill="1" applyBorder="1" applyAlignment="1">
      <alignment vertical="center" wrapText="1"/>
    </xf>
    <xf numFmtId="0" fontId="31" fillId="9" borderId="1" xfId="0" applyFont="1" applyFill="1" applyBorder="1" applyAlignment="1">
      <alignment vertical="center"/>
    </xf>
    <xf numFmtId="0" fontId="31" fillId="9" borderId="1" xfId="0" applyFont="1" applyFill="1" applyBorder="1" applyAlignment="1">
      <alignment wrapText="1"/>
    </xf>
    <xf numFmtId="0" fontId="31" fillId="4" borderId="0" xfId="0" applyFont="1" applyFill="1" applyAlignment="1">
      <alignment horizontal="center"/>
    </xf>
    <xf numFmtId="0" fontId="31" fillId="4" borderId="0" xfId="0" applyFont="1" applyFill="1" applyAlignment="1">
      <alignment horizontal="center" wrapText="1"/>
    </xf>
    <xf numFmtId="0" fontId="33" fillId="6" borderId="15" xfId="0" applyFont="1" applyFill="1" applyBorder="1" applyAlignment="1">
      <alignment horizontal="center" vertical="center" wrapText="1"/>
    </xf>
    <xf numFmtId="0" fontId="33" fillId="2" borderId="15" xfId="0" applyFont="1" applyFill="1" applyBorder="1" applyAlignment="1">
      <alignment horizontal="center" vertical="center" wrapText="1"/>
    </xf>
    <xf numFmtId="0" fontId="33" fillId="12" borderId="15" xfId="0" applyFont="1" applyFill="1" applyBorder="1" applyAlignment="1">
      <alignment horizontal="center" vertical="center" wrapText="1"/>
    </xf>
    <xf numFmtId="0" fontId="33" fillId="5" borderId="15" xfId="0" applyFont="1" applyFill="1" applyBorder="1" applyAlignment="1">
      <alignment horizontal="center" vertical="center" wrapText="1"/>
    </xf>
    <xf numFmtId="0" fontId="33" fillId="10" borderId="15" xfId="0" applyFont="1" applyFill="1" applyBorder="1" applyAlignment="1">
      <alignment horizontal="center" vertical="center" wrapText="1"/>
    </xf>
    <xf numFmtId="0" fontId="33" fillId="11" borderId="15" xfId="0" applyFont="1" applyFill="1" applyBorder="1" applyAlignment="1">
      <alignment horizontal="center" vertical="center" wrapText="1"/>
    </xf>
    <xf numFmtId="0" fontId="33" fillId="4" borderId="16" xfId="0" applyFont="1" applyFill="1" applyBorder="1" applyAlignment="1">
      <alignment horizontal="center" vertical="center" wrapText="1"/>
    </xf>
    <xf numFmtId="0" fontId="32" fillId="5" borderId="1" xfId="6" applyFont="1" applyFill="1" applyBorder="1" applyAlignment="1" applyProtection="1">
      <alignment horizontal="left" vertical="center" wrapText="1"/>
    </xf>
    <xf numFmtId="0" fontId="33" fillId="9" borderId="1" xfId="0" applyFont="1" applyFill="1" applyBorder="1" applyAlignment="1">
      <alignment horizontal="center" vertical="center" wrapText="1"/>
    </xf>
    <xf numFmtId="0" fontId="33" fillId="9" borderId="1" xfId="0" applyFont="1" applyFill="1" applyBorder="1" applyAlignment="1">
      <alignment vertical="center"/>
    </xf>
    <xf numFmtId="0" fontId="33" fillId="9" borderId="1" xfId="0" applyFont="1" applyFill="1" applyBorder="1" applyAlignment="1">
      <alignment vertical="center" wrapText="1"/>
    </xf>
    <xf numFmtId="0" fontId="33" fillId="16" borderId="1" xfId="0" applyFont="1" applyFill="1" applyBorder="1" applyAlignment="1">
      <alignment vertical="center" wrapText="1"/>
    </xf>
    <xf numFmtId="0" fontId="31" fillId="9" borderId="9" xfId="0" applyFont="1" applyFill="1" applyBorder="1" applyAlignment="1">
      <alignment wrapText="1"/>
    </xf>
    <xf numFmtId="0" fontId="31" fillId="9" borderId="0" xfId="0" applyFont="1" applyFill="1" applyAlignment="1">
      <alignment wrapText="1"/>
    </xf>
    <xf numFmtId="0" fontId="33" fillId="9" borderId="0" xfId="0" applyFont="1" applyFill="1" applyAlignment="1">
      <alignment horizontal="center" vertical="center" wrapText="1"/>
    </xf>
    <xf numFmtId="0" fontId="33" fillId="9" borderId="36" xfId="0" applyFont="1" applyFill="1" applyBorder="1" applyAlignment="1">
      <alignment vertical="center" wrapText="1"/>
    </xf>
    <xf numFmtId="0" fontId="33" fillId="9" borderId="33" xfId="0" applyFont="1" applyFill="1" applyBorder="1" applyAlignment="1">
      <alignment horizontal="center" vertical="center" wrapText="1"/>
    </xf>
    <xf numFmtId="0" fontId="33" fillId="4" borderId="1" xfId="0" applyFont="1" applyFill="1" applyBorder="1" applyAlignment="1">
      <alignment horizontal="center" vertical="center" wrapText="1"/>
    </xf>
    <xf numFmtId="0" fontId="31" fillId="12" borderId="20" xfId="0" applyFont="1" applyFill="1" applyBorder="1" applyAlignment="1">
      <alignment vertical="center" wrapText="1"/>
    </xf>
    <xf numFmtId="0" fontId="31" fillId="12" borderId="20" xfId="0" applyFont="1" applyFill="1" applyBorder="1" applyAlignment="1">
      <alignment wrapText="1"/>
    </xf>
    <xf numFmtId="0" fontId="31" fillId="13" borderId="0" xfId="0" applyFont="1" applyFill="1"/>
    <xf numFmtId="0" fontId="33" fillId="4" borderId="1" xfId="0" applyFont="1" applyFill="1" applyBorder="1" applyAlignment="1">
      <alignment horizontal="center" vertical="center"/>
    </xf>
    <xf numFmtId="0" fontId="38" fillId="13" borderId="0" xfId="0" applyFont="1" applyFill="1" applyAlignment="1">
      <alignment horizontal="center" wrapText="1"/>
    </xf>
    <xf numFmtId="0" fontId="31" fillId="4" borderId="20" xfId="0" applyFont="1" applyFill="1" applyBorder="1" applyAlignment="1">
      <alignment vertical="center" wrapText="1"/>
    </xf>
    <xf numFmtId="0" fontId="31" fillId="13" borderId="24" xfId="0" applyFont="1" applyFill="1" applyBorder="1"/>
    <xf numFmtId="0" fontId="31" fillId="17" borderId="20" xfId="0" applyFont="1" applyFill="1" applyBorder="1" applyAlignment="1">
      <alignment vertical="center" wrapText="1"/>
    </xf>
    <xf numFmtId="0" fontId="31" fillId="13" borderId="25" xfId="0" applyFont="1" applyFill="1" applyBorder="1"/>
    <xf numFmtId="0" fontId="31" fillId="13" borderId="15" xfId="0" applyFont="1" applyFill="1" applyBorder="1"/>
    <xf numFmtId="0" fontId="31" fillId="12" borderId="27" xfId="0" applyFont="1" applyFill="1" applyBorder="1" applyAlignment="1">
      <alignment vertical="center" wrapText="1"/>
    </xf>
    <xf numFmtId="0" fontId="31" fillId="4" borderId="24" xfId="0" applyFont="1" applyFill="1" applyBorder="1" applyAlignment="1">
      <alignment horizontal="right"/>
    </xf>
    <xf numFmtId="0" fontId="31" fillId="4" borderId="24" xfId="0" applyFont="1" applyFill="1" applyBorder="1" applyAlignment="1">
      <alignment horizontal="right" wrapText="1"/>
    </xf>
    <xf numFmtId="0" fontId="31" fillId="12" borderId="26" xfId="0" applyFont="1" applyFill="1" applyBorder="1" applyAlignment="1">
      <alignment vertical="center" wrapText="1"/>
    </xf>
    <xf numFmtId="0" fontId="31" fillId="12" borderId="1" xfId="0" applyFont="1" applyFill="1" applyBorder="1" applyAlignment="1">
      <alignment vertical="center" wrapText="1"/>
    </xf>
    <xf numFmtId="0" fontId="31" fillId="13" borderId="0" xfId="0" applyFont="1" applyFill="1" applyAlignment="1">
      <alignment wrapText="1"/>
    </xf>
    <xf numFmtId="0" fontId="33" fillId="8" borderId="1" xfId="0" applyFont="1" applyFill="1" applyBorder="1" applyAlignment="1">
      <alignment wrapText="1"/>
    </xf>
    <xf numFmtId="0" fontId="35" fillId="4" borderId="1" xfId="0" applyFont="1" applyFill="1" applyBorder="1" applyAlignment="1">
      <alignment vertical="center" wrapText="1"/>
    </xf>
    <xf numFmtId="0" fontId="31" fillId="4" borderId="1" xfId="0" applyFont="1" applyFill="1" applyBorder="1" applyAlignment="1">
      <alignment wrapText="1"/>
    </xf>
    <xf numFmtId="0" fontId="31" fillId="9" borderId="0" xfId="0" applyFont="1" applyFill="1"/>
    <xf numFmtId="0" fontId="31" fillId="2" borderId="0" xfId="0" applyFont="1" applyFill="1"/>
    <xf numFmtId="0" fontId="32" fillId="2" borderId="0" xfId="6" applyFont="1" applyFill="1" applyProtection="1"/>
    <xf numFmtId="0" fontId="31" fillId="2" borderId="0" xfId="0" applyFont="1" applyFill="1" applyAlignment="1">
      <alignment wrapText="1"/>
    </xf>
    <xf numFmtId="0" fontId="31" fillId="0" borderId="0" xfId="0" applyFont="1" applyAlignment="1">
      <alignment wrapText="1"/>
    </xf>
    <xf numFmtId="0" fontId="31" fillId="0" borderId="25" xfId="0" applyFont="1" applyBorder="1" applyAlignment="1">
      <alignment wrapText="1"/>
    </xf>
    <xf numFmtId="0" fontId="31" fillId="0" borderId="0" xfId="0" applyFont="1"/>
    <xf numFmtId="0" fontId="31" fillId="0" borderId="3" xfId="0" applyFont="1" applyBorder="1" applyAlignment="1">
      <alignment wrapText="1"/>
    </xf>
    <xf numFmtId="0" fontId="31" fillId="2" borderId="1" xfId="0" applyFont="1" applyFill="1" applyBorder="1" applyAlignment="1">
      <alignment horizontal="left" vertical="top" wrapText="1"/>
    </xf>
    <xf numFmtId="0" fontId="31" fillId="3" borderId="1" xfId="0" applyFont="1" applyFill="1" applyBorder="1" applyAlignment="1">
      <alignment horizontal="left" vertical="top" wrapText="1"/>
    </xf>
    <xf numFmtId="0" fontId="31" fillId="0" borderId="31" xfId="0" applyFont="1" applyBorder="1"/>
    <xf numFmtId="0" fontId="31" fillId="8" borderId="1" xfId="0" applyFont="1" applyFill="1" applyBorder="1" applyAlignment="1">
      <alignment horizontal="left" vertical="top" wrapText="1"/>
    </xf>
    <xf numFmtId="0" fontId="31" fillId="8" borderId="5" xfId="0" applyFont="1" applyFill="1" applyBorder="1" applyAlignment="1">
      <alignment horizontal="left" vertical="top" wrapText="1"/>
    </xf>
    <xf numFmtId="0" fontId="31" fillId="3" borderId="5" xfId="0" applyFont="1" applyFill="1" applyBorder="1" applyAlignment="1">
      <alignment horizontal="left" vertical="top" wrapText="1"/>
    </xf>
    <xf numFmtId="0" fontId="31" fillId="2" borderId="36" xfId="0" applyFont="1" applyFill="1" applyBorder="1" applyAlignment="1">
      <alignment horizontal="left" vertical="top" wrapText="1"/>
    </xf>
    <xf numFmtId="0" fontId="31" fillId="3" borderId="36" xfId="0" applyFont="1" applyFill="1" applyBorder="1" applyAlignment="1">
      <alignment horizontal="left" vertical="top" wrapText="1"/>
    </xf>
    <xf numFmtId="0" fontId="31" fillId="7" borderId="1" xfId="0" applyFont="1" applyFill="1" applyBorder="1" applyAlignment="1">
      <alignment horizontal="left" vertical="top" wrapText="1"/>
    </xf>
    <xf numFmtId="0" fontId="31" fillId="2" borderId="6" xfId="0" applyFont="1" applyFill="1" applyBorder="1" applyAlignment="1">
      <alignment horizontal="left" vertical="top" wrapText="1"/>
    </xf>
    <xf numFmtId="0" fontId="31" fillId="3" borderId="6" xfId="0" applyFont="1" applyFill="1" applyBorder="1" applyAlignment="1">
      <alignment horizontal="left" vertical="top" wrapText="1"/>
    </xf>
    <xf numFmtId="0" fontId="31" fillId="7" borderId="36" xfId="0" applyFont="1" applyFill="1" applyBorder="1" applyAlignment="1">
      <alignment horizontal="left" vertical="top" wrapText="1"/>
    </xf>
    <xf numFmtId="0" fontId="31" fillId="2" borderId="5" xfId="0" applyFont="1" applyFill="1" applyBorder="1" applyAlignment="1">
      <alignment horizontal="left" vertical="top" wrapText="1"/>
    </xf>
    <xf numFmtId="0" fontId="31" fillId="3" borderId="37" xfId="0" applyFont="1" applyFill="1" applyBorder="1" applyAlignment="1">
      <alignment horizontal="left" vertical="top" wrapText="1"/>
    </xf>
    <xf numFmtId="0" fontId="31" fillId="3" borderId="4" xfId="0" applyFont="1" applyFill="1" applyBorder="1" applyAlignment="1">
      <alignment horizontal="left" vertical="top" wrapText="1"/>
    </xf>
    <xf numFmtId="0" fontId="31" fillId="8" borderId="6" xfId="0" applyFont="1" applyFill="1" applyBorder="1" applyAlignment="1">
      <alignment horizontal="left" vertical="top" wrapText="1"/>
    </xf>
    <xf numFmtId="0" fontId="31" fillId="5" borderId="0" xfId="0" applyFont="1" applyFill="1"/>
    <xf numFmtId="0" fontId="31" fillId="8" borderId="36" xfId="0" applyFont="1" applyFill="1" applyBorder="1" applyAlignment="1">
      <alignment horizontal="left" vertical="top" wrapText="1"/>
    </xf>
    <xf numFmtId="0" fontId="31" fillId="3" borderId="19" xfId="0" applyFont="1" applyFill="1" applyBorder="1" applyAlignment="1">
      <alignment horizontal="left" vertical="top" wrapText="1"/>
    </xf>
    <xf numFmtId="0" fontId="31" fillId="3" borderId="2" xfId="0" applyFont="1" applyFill="1" applyBorder="1" applyAlignment="1">
      <alignment horizontal="left" vertical="top" wrapText="1"/>
    </xf>
    <xf numFmtId="0" fontId="31" fillId="3" borderId="7" xfId="0" applyFont="1" applyFill="1" applyBorder="1" applyAlignment="1">
      <alignment horizontal="left" vertical="top" wrapText="1"/>
    </xf>
    <xf numFmtId="0" fontId="0" fillId="9" borderId="2" xfId="0" applyFill="1" applyBorder="1" applyAlignment="1">
      <alignment vertical="center"/>
    </xf>
    <xf numFmtId="0" fontId="31" fillId="9" borderId="19" xfId="0" applyFont="1" applyFill="1" applyBorder="1" applyAlignment="1">
      <alignment vertical="center" wrapText="1"/>
    </xf>
    <xf numFmtId="0" fontId="31" fillId="9" borderId="2" xfId="0" applyFont="1" applyFill="1" applyBorder="1" applyAlignment="1">
      <alignment vertical="center" wrapText="1"/>
    </xf>
    <xf numFmtId="0" fontId="30" fillId="9" borderId="2" xfId="6" applyFont="1" applyFill="1" applyBorder="1" applyAlignment="1" applyProtection="1">
      <alignment vertical="center" wrapText="1"/>
    </xf>
    <xf numFmtId="0" fontId="0" fillId="9" borderId="2" xfId="0" applyFill="1" applyBorder="1" applyAlignment="1">
      <alignment vertical="center" wrapText="1"/>
    </xf>
    <xf numFmtId="0" fontId="31" fillId="4" borderId="2" xfId="0" applyFont="1" applyFill="1" applyBorder="1" applyAlignment="1">
      <alignment vertical="center" wrapText="1"/>
    </xf>
    <xf numFmtId="0" fontId="33" fillId="4" borderId="0" xfId="0" applyFont="1" applyFill="1" applyAlignment="1">
      <alignment wrapText="1"/>
    </xf>
    <xf numFmtId="0" fontId="42" fillId="12" borderId="1" xfId="0" applyFont="1" applyFill="1" applyBorder="1" applyAlignment="1">
      <alignment wrapText="1"/>
    </xf>
    <xf numFmtId="0" fontId="34" fillId="9" borderId="0" xfId="0" applyFont="1" applyFill="1"/>
    <xf numFmtId="0" fontId="31" fillId="9" borderId="2" xfId="0" applyFont="1" applyFill="1" applyBorder="1" applyAlignment="1">
      <alignment horizontal="left" vertical="center"/>
    </xf>
    <xf numFmtId="0" fontId="0" fillId="9" borderId="4" xfId="0" applyFill="1" applyBorder="1" applyAlignment="1">
      <alignment horizontal="left" vertical="center"/>
    </xf>
    <xf numFmtId="0" fontId="31" fillId="16" borderId="31" xfId="0" applyFont="1" applyFill="1" applyBorder="1" applyAlignment="1">
      <alignment horizontal="left" wrapText="1"/>
    </xf>
    <xf numFmtId="0" fontId="0" fillId="16" borderId="0" xfId="0" applyFill="1" applyAlignment="1">
      <alignment horizontal="left" wrapText="1"/>
    </xf>
    <xf numFmtId="0" fontId="0" fillId="16" borderId="3" xfId="0" applyFill="1" applyBorder="1" applyAlignment="1">
      <alignment horizontal="left" wrapText="1"/>
    </xf>
    <xf numFmtId="0" fontId="33" fillId="16" borderId="15" xfId="0" applyFont="1" applyFill="1" applyBorder="1" applyAlignment="1">
      <alignment horizontal="center"/>
    </xf>
    <xf numFmtId="0" fontId="14" fillId="16" borderId="15" xfId="0" applyFont="1" applyFill="1" applyBorder="1" applyAlignment="1">
      <alignment horizontal="center"/>
    </xf>
    <xf numFmtId="0" fontId="31" fillId="16" borderId="20" xfId="0" applyFont="1" applyFill="1" applyBorder="1" applyAlignment="1">
      <alignment horizontal="center"/>
    </xf>
    <xf numFmtId="0" fontId="0" fillId="16" borderId="15" xfId="0" applyFill="1" applyBorder="1" applyAlignment="1">
      <alignment horizontal="center"/>
    </xf>
    <xf numFmtId="0" fontId="0" fillId="16" borderId="16" xfId="0" applyFill="1" applyBorder="1" applyAlignment="1">
      <alignment horizontal="center"/>
    </xf>
    <xf numFmtId="0" fontId="31" fillId="16" borderId="31" xfId="0" applyFont="1" applyFill="1" applyBorder="1" applyAlignment="1">
      <alignment horizontal="left"/>
    </xf>
    <xf numFmtId="0" fontId="0" fillId="16" borderId="0" xfId="0" applyFill="1" applyAlignment="1">
      <alignment horizontal="left"/>
    </xf>
    <xf numFmtId="0" fontId="0" fillId="16" borderId="3" xfId="0" applyFill="1" applyBorder="1" applyAlignment="1">
      <alignment horizontal="left"/>
    </xf>
    <xf numFmtId="0" fontId="40" fillId="9" borderId="8" xfId="0" applyFont="1" applyFill="1" applyBorder="1" applyAlignment="1">
      <alignment horizontal="center" vertical="center" wrapText="1"/>
    </xf>
    <xf numFmtId="0" fontId="24" fillId="9" borderId="0" xfId="0" applyFont="1" applyFill="1" applyAlignment="1">
      <alignment horizontal="center" vertical="center" wrapText="1"/>
    </xf>
    <xf numFmtId="0" fontId="33" fillId="4" borderId="27" xfId="0" applyFont="1" applyFill="1" applyBorder="1" applyAlignment="1">
      <alignment horizontal="center" vertical="center" wrapText="1"/>
    </xf>
    <xf numFmtId="0" fontId="15" fillId="4" borderId="24" xfId="0" applyFont="1" applyFill="1" applyBorder="1" applyAlignment="1">
      <alignment horizontal="center" vertical="center" wrapText="1"/>
    </xf>
    <xf numFmtId="0" fontId="15" fillId="4" borderId="26" xfId="0" applyFont="1" applyFill="1" applyBorder="1" applyAlignment="1">
      <alignment horizontal="center" vertical="center" wrapText="1"/>
    </xf>
    <xf numFmtId="0" fontId="15" fillId="4" borderId="25" xfId="0" applyFont="1" applyFill="1" applyBorder="1" applyAlignment="1">
      <alignment horizontal="center" vertical="center" wrapText="1"/>
    </xf>
    <xf numFmtId="0" fontId="4" fillId="9" borderId="0" xfId="0" applyFont="1" applyFill="1" applyAlignment="1">
      <alignment horizontal="center" wrapText="1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16" xfId="0" applyFont="1" applyBorder="1" applyAlignment="1" applyProtection="1">
      <alignment horizontal="center" vertical="center"/>
      <protection locked="0"/>
    </xf>
    <xf numFmtId="0" fontId="33" fillId="4" borderId="20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 wrapText="1"/>
    </xf>
    <xf numFmtId="0" fontId="29" fillId="0" borderId="20" xfId="0" applyFont="1" applyBorder="1" applyAlignment="1" applyProtection="1">
      <alignment horizontal="center" vertical="center" wrapText="1"/>
      <protection locked="0"/>
    </xf>
    <xf numFmtId="0" fontId="29" fillId="0" borderId="15" xfId="0" applyFont="1" applyBorder="1" applyAlignment="1" applyProtection="1">
      <alignment horizontal="center" vertical="center" wrapText="1"/>
      <protection locked="0"/>
    </xf>
    <xf numFmtId="0" fontId="29" fillId="0" borderId="16" xfId="0" applyFont="1" applyBorder="1" applyAlignment="1" applyProtection="1">
      <alignment horizontal="center" vertical="center" wrapText="1"/>
      <protection locked="0"/>
    </xf>
    <xf numFmtId="0" fontId="23" fillId="4" borderId="27" xfId="0" applyFont="1" applyFill="1" applyBorder="1" applyAlignment="1">
      <alignment horizontal="center" vertical="center" wrapText="1"/>
    </xf>
    <xf numFmtId="0" fontId="25" fillId="4" borderId="24" xfId="0" applyFont="1" applyFill="1" applyBorder="1" applyAlignment="1">
      <alignment horizontal="center" vertical="center" wrapText="1"/>
    </xf>
    <xf numFmtId="0" fontId="25" fillId="4" borderId="28" xfId="0" applyFont="1" applyFill="1" applyBorder="1" applyAlignment="1">
      <alignment horizontal="center" vertical="center" wrapText="1"/>
    </xf>
    <xf numFmtId="0" fontId="25" fillId="4" borderId="31" xfId="0" applyFont="1" applyFill="1" applyBorder="1" applyAlignment="1">
      <alignment horizontal="center" vertical="center" wrapText="1"/>
    </xf>
    <xf numFmtId="0" fontId="25" fillId="4" borderId="0" xfId="0" applyFont="1" applyFill="1" applyAlignment="1">
      <alignment horizontal="center" vertical="center" wrapText="1"/>
    </xf>
    <xf numFmtId="0" fontId="25" fillId="4" borderId="3" xfId="0" applyFont="1" applyFill="1" applyBorder="1" applyAlignment="1">
      <alignment horizontal="center" vertical="center" wrapText="1"/>
    </xf>
    <xf numFmtId="0" fontId="25" fillId="4" borderId="26" xfId="0" applyFont="1" applyFill="1" applyBorder="1" applyAlignment="1">
      <alignment horizontal="center" vertical="center" wrapText="1"/>
    </xf>
    <xf numFmtId="0" fontId="25" fillId="4" borderId="25" xfId="0" applyFont="1" applyFill="1" applyBorder="1" applyAlignment="1">
      <alignment horizontal="center" vertical="center" wrapText="1"/>
    </xf>
    <xf numFmtId="0" fontId="25" fillId="4" borderId="23" xfId="0" applyFont="1" applyFill="1" applyBorder="1" applyAlignment="1">
      <alignment horizontal="center" vertical="center" wrapText="1"/>
    </xf>
    <xf numFmtId="0" fontId="33" fillId="9" borderId="20" xfId="0" applyFont="1" applyFill="1" applyBorder="1" applyAlignment="1">
      <alignment horizontal="center" vertical="center" wrapText="1"/>
    </xf>
    <xf numFmtId="0" fontId="4" fillId="9" borderId="15" xfId="0" applyFont="1" applyFill="1" applyBorder="1" applyAlignment="1">
      <alignment horizontal="center" vertical="center" wrapText="1"/>
    </xf>
    <xf numFmtId="0" fontId="0" fillId="9" borderId="24" xfId="0" applyFill="1" applyBorder="1" applyAlignment="1">
      <alignment horizontal="center"/>
    </xf>
    <xf numFmtId="0" fontId="33" fillId="4" borderId="20" xfId="0" applyFont="1" applyFill="1" applyBorder="1" applyAlignment="1">
      <alignment horizontal="center" vertical="center"/>
    </xf>
    <xf numFmtId="0" fontId="27" fillId="4" borderId="16" xfId="0" applyFont="1" applyFill="1" applyBorder="1" applyAlignment="1">
      <alignment horizontal="center" vertical="center"/>
    </xf>
    <xf numFmtId="0" fontId="31" fillId="9" borderId="31" xfId="0" applyFont="1" applyFill="1" applyBorder="1" applyAlignment="1">
      <alignment horizontal="center"/>
    </xf>
    <xf numFmtId="0" fontId="0" fillId="9" borderId="0" xfId="0" applyFill="1" applyAlignment="1">
      <alignment horizontal="center"/>
    </xf>
    <xf numFmtId="0" fontId="5" fillId="0" borderId="0" xfId="0" applyFont="1" applyAlignment="1">
      <alignment horizontal="left" vertical="top" wrapText="1"/>
    </xf>
    <xf numFmtId="0" fontId="2" fillId="9" borderId="0" xfId="0" applyFont="1" applyFill="1" applyAlignment="1">
      <alignment horizontal="center" vertical="center" wrapText="1"/>
    </xf>
    <xf numFmtId="0" fontId="8" fillId="4" borderId="16" xfId="0" applyFont="1" applyFill="1" applyBorder="1" applyAlignment="1">
      <alignment horizontal="center" vertical="center"/>
    </xf>
    <xf numFmtId="0" fontId="29" fillId="0" borderId="20" xfId="0" applyFont="1" applyBorder="1" applyAlignment="1" applyProtection="1">
      <alignment horizontal="center"/>
      <protection locked="0"/>
    </xf>
    <xf numFmtId="0" fontId="29" fillId="0" borderId="15" xfId="0" applyFont="1" applyBorder="1" applyAlignment="1" applyProtection="1">
      <alignment horizontal="center"/>
      <protection locked="0"/>
    </xf>
    <xf numFmtId="0" fontId="29" fillId="0" borderId="16" xfId="0" applyFont="1" applyBorder="1" applyAlignment="1" applyProtection="1">
      <alignment horizontal="center"/>
      <protection locked="0"/>
    </xf>
    <xf numFmtId="0" fontId="0" fillId="12" borderId="0" xfId="0" applyFill="1" applyAlignment="1">
      <alignment horizontal="center"/>
    </xf>
    <xf numFmtId="0" fontId="31" fillId="4" borderId="25" xfId="0" applyFont="1" applyFill="1" applyBorder="1" applyAlignment="1">
      <alignment horizontal="center" vertical="center" wrapText="1"/>
    </xf>
    <xf numFmtId="0" fontId="0" fillId="4" borderId="25" xfId="0" applyFill="1" applyBorder="1" applyAlignment="1">
      <alignment horizontal="center" vertical="center" wrapText="1"/>
    </xf>
    <xf numFmtId="0" fontId="34" fillId="9" borderId="0" xfId="0" applyFont="1" applyFill="1" applyAlignment="1">
      <alignment horizontal="left"/>
    </xf>
    <xf numFmtId="0" fontId="16" fillId="9" borderId="0" xfId="0" applyFont="1" applyFill="1" applyAlignment="1">
      <alignment horizontal="left"/>
    </xf>
    <xf numFmtId="0" fontId="31" fillId="9" borderId="0" xfId="0" applyFont="1" applyFill="1" applyAlignment="1">
      <alignment horizontal="right" vertical="center"/>
    </xf>
    <xf numFmtId="0" fontId="0" fillId="9" borderId="0" xfId="0" applyFill="1" applyAlignment="1">
      <alignment horizontal="right" vertical="center"/>
    </xf>
    <xf numFmtId="14" fontId="29" fillId="0" borderId="20" xfId="0" applyNumberFormat="1" applyFont="1" applyBorder="1" applyAlignment="1" applyProtection="1">
      <alignment horizontal="center"/>
      <protection locked="0"/>
    </xf>
    <xf numFmtId="0" fontId="29" fillId="4" borderId="17" xfId="0" applyFont="1" applyFill="1" applyBorder="1" applyAlignment="1">
      <alignment horizontal="center" vertical="center"/>
    </xf>
    <xf numFmtId="0" fontId="8" fillId="4" borderId="21" xfId="0" applyFont="1" applyFill="1" applyBorder="1" applyAlignment="1">
      <alignment horizontal="center" vertical="center"/>
    </xf>
    <xf numFmtId="0" fontId="8" fillId="4" borderId="29" xfId="0" applyFont="1" applyFill="1" applyBorder="1" applyAlignment="1">
      <alignment horizontal="center" vertical="center"/>
    </xf>
    <xf numFmtId="0" fontId="40" fillId="9" borderId="17" xfId="0" applyFont="1" applyFill="1" applyBorder="1" applyAlignment="1">
      <alignment horizontal="center" vertical="center"/>
    </xf>
    <xf numFmtId="0" fontId="21" fillId="9" borderId="21" xfId="0" applyFont="1" applyFill="1" applyBorder="1" applyAlignment="1">
      <alignment horizontal="center" vertical="center"/>
    </xf>
    <xf numFmtId="0" fontId="21" fillId="9" borderId="29" xfId="0" applyFont="1" applyFill="1" applyBorder="1" applyAlignment="1">
      <alignment horizontal="center" vertical="center"/>
    </xf>
    <xf numFmtId="0" fontId="9" fillId="9" borderId="0" xfId="0" applyFont="1" applyFill="1" applyAlignment="1">
      <alignment horizontal="left"/>
    </xf>
    <xf numFmtId="0" fontId="4" fillId="9" borderId="0" xfId="0" applyFont="1" applyFill="1" applyAlignment="1">
      <alignment horizontal="center" vertical="top" wrapText="1"/>
    </xf>
    <xf numFmtId="0" fontId="6" fillId="9" borderId="0" xfId="0" applyFont="1" applyFill="1" applyAlignment="1">
      <alignment horizontal="center" vertical="center" wrapText="1"/>
    </xf>
    <xf numFmtId="0" fontId="20" fillId="9" borderId="0" xfId="0" applyFont="1" applyFill="1" applyAlignment="1">
      <alignment horizontal="center" vertical="center" wrapText="1"/>
    </xf>
    <xf numFmtId="0" fontId="20" fillId="9" borderId="25" xfId="0" applyFont="1" applyFill="1" applyBorder="1" applyAlignment="1">
      <alignment horizontal="center" vertical="center" wrapText="1"/>
    </xf>
    <xf numFmtId="0" fontId="0" fillId="9" borderId="0" xfId="0" applyFill="1" applyAlignment="1">
      <alignment horizontal="center" wrapText="1"/>
    </xf>
    <xf numFmtId="0" fontId="0" fillId="9" borderId="25" xfId="0" applyFill="1" applyBorder="1" applyAlignment="1">
      <alignment horizontal="center" wrapText="1"/>
    </xf>
    <xf numFmtId="0" fontId="10" fillId="9" borderId="25" xfId="0" applyFont="1" applyFill="1" applyBorder="1" applyAlignment="1">
      <alignment horizontal="center"/>
    </xf>
    <xf numFmtId="0" fontId="33" fillId="12" borderId="1" xfId="0" applyFont="1" applyFill="1" applyBorder="1" applyAlignment="1">
      <alignment horizontal="left"/>
    </xf>
    <xf numFmtId="0" fontId="4" fillId="12" borderId="1" xfId="0" applyFont="1" applyFill="1" applyBorder="1" applyAlignment="1">
      <alignment horizontal="left"/>
    </xf>
    <xf numFmtId="0" fontId="9" fillId="12" borderId="1" xfId="0" applyFont="1" applyFill="1" applyBorder="1" applyAlignment="1">
      <alignment horizontal="center"/>
    </xf>
    <xf numFmtId="0" fontId="33" fillId="4" borderId="17" xfId="0" applyFont="1" applyFill="1" applyBorder="1" applyAlignment="1">
      <alignment horizontal="center" vertical="center" wrapText="1"/>
    </xf>
    <xf numFmtId="0" fontId="8" fillId="4" borderId="21" xfId="0" applyFont="1" applyFill="1" applyBorder="1" applyAlignment="1">
      <alignment horizontal="center" vertical="center" wrapText="1"/>
    </xf>
    <xf numFmtId="0" fontId="8" fillId="4" borderId="29" xfId="0" applyFont="1" applyFill="1" applyBorder="1" applyAlignment="1">
      <alignment horizontal="center" vertical="center" wrapText="1"/>
    </xf>
    <xf numFmtId="0" fontId="36" fillId="13" borderId="0" xfId="0" applyFont="1" applyFill="1" applyAlignment="1">
      <alignment horizontal="center" wrapText="1"/>
    </xf>
    <xf numFmtId="0" fontId="20" fillId="13" borderId="0" xfId="0" applyFont="1" applyFill="1" applyAlignment="1">
      <alignment horizontal="center" wrapText="1"/>
    </xf>
    <xf numFmtId="0" fontId="38" fillId="13" borderId="0" xfId="0" applyFont="1" applyFill="1" applyAlignment="1">
      <alignment horizontal="center" wrapText="1"/>
    </xf>
    <xf numFmtId="0" fontId="17" fillId="13" borderId="0" xfId="0" applyFont="1" applyFill="1" applyAlignment="1">
      <alignment horizontal="center" wrapText="1"/>
    </xf>
    <xf numFmtId="0" fontId="31" fillId="13" borderId="0" xfId="0" applyFont="1" applyFill="1" applyAlignment="1">
      <alignment horizontal="center" wrapText="1"/>
    </xf>
    <xf numFmtId="0" fontId="0" fillId="13" borderId="0" xfId="0" applyFill="1" applyAlignment="1">
      <alignment horizontal="center" wrapText="1"/>
    </xf>
    <xf numFmtId="0" fontId="0" fillId="9" borderId="0" xfId="0" applyFill="1" applyAlignment="1">
      <alignment horizontal="center" vertical="center" wrapText="1"/>
    </xf>
    <xf numFmtId="0" fontId="37" fillId="13" borderId="0" xfId="0" applyFont="1" applyFill="1" applyAlignment="1">
      <alignment horizontal="center" wrapText="1"/>
    </xf>
    <xf numFmtId="0" fontId="28" fillId="13" borderId="0" xfId="0" applyFont="1" applyFill="1" applyAlignment="1">
      <alignment horizontal="center" wrapText="1"/>
    </xf>
    <xf numFmtId="0" fontId="36" fillId="13" borderId="0" xfId="0" applyFont="1" applyFill="1" applyAlignment="1">
      <alignment horizontal="center"/>
    </xf>
    <xf numFmtId="0" fontId="20" fillId="13" borderId="0" xfId="0" applyFont="1" applyFill="1" applyAlignment="1">
      <alignment horizontal="center"/>
    </xf>
    <xf numFmtId="0" fontId="31" fillId="9" borderId="31" xfId="0" applyFont="1" applyFill="1" applyBorder="1" applyAlignment="1">
      <alignment horizontal="center" wrapText="1"/>
    </xf>
    <xf numFmtId="0" fontId="31" fillId="9" borderId="0" xfId="0" applyFont="1" applyFill="1" applyAlignment="1">
      <alignment horizontal="center" wrapText="1"/>
    </xf>
    <xf numFmtId="0" fontId="33" fillId="4" borderId="19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 wrapText="1"/>
    </xf>
    <xf numFmtId="0" fontId="14" fillId="4" borderId="4" xfId="0" applyFont="1" applyFill="1" applyBorder="1" applyAlignment="1">
      <alignment horizontal="center" vertical="center" wrapText="1"/>
    </xf>
    <xf numFmtId="0" fontId="17" fillId="9" borderId="0" xfId="0" applyFont="1" applyFill="1" applyAlignment="1">
      <alignment horizontal="center" wrapText="1"/>
    </xf>
    <xf numFmtId="0" fontId="33" fillId="8" borderId="1" xfId="0" applyFont="1" applyFill="1" applyBorder="1" applyAlignment="1">
      <alignment horizontal="center" vertical="center" wrapText="1"/>
    </xf>
    <xf numFmtId="0" fontId="14" fillId="8" borderId="1" xfId="0" applyFont="1" applyFill="1" applyBorder="1" applyAlignment="1">
      <alignment horizontal="center" vertical="center" wrapText="1"/>
    </xf>
    <xf numFmtId="0" fontId="31" fillId="4" borderId="0" xfId="0" applyFont="1" applyFill="1" applyAlignment="1">
      <alignment horizontal="center" vertical="center" wrapText="1"/>
    </xf>
    <xf numFmtId="0" fontId="40" fillId="4" borderId="17" xfId="0" applyFont="1" applyFill="1" applyBorder="1" applyAlignment="1">
      <alignment horizontal="center" vertical="center"/>
    </xf>
    <xf numFmtId="0" fontId="21" fillId="4" borderId="21" xfId="0" applyFont="1" applyFill="1" applyBorder="1" applyAlignment="1">
      <alignment horizontal="center" vertical="center"/>
    </xf>
    <xf numFmtId="0" fontId="21" fillId="4" borderId="29" xfId="0" applyFont="1" applyFill="1" applyBorder="1" applyAlignment="1">
      <alignment horizontal="center" vertical="center"/>
    </xf>
    <xf numFmtId="0" fontId="23" fillId="4" borderId="20" xfId="0" applyFont="1" applyFill="1" applyBorder="1" applyAlignment="1">
      <alignment horizontal="center" vertical="center" wrapText="1"/>
    </xf>
    <xf numFmtId="0" fontId="25" fillId="4" borderId="15" xfId="0" applyFont="1" applyFill="1" applyBorder="1" applyAlignment="1">
      <alignment horizontal="center" vertical="center"/>
    </xf>
    <xf numFmtId="0" fontId="25" fillId="4" borderId="16" xfId="0" applyFont="1" applyFill="1" applyBorder="1" applyAlignment="1">
      <alignment horizontal="center" vertical="center"/>
    </xf>
    <xf numFmtId="0" fontId="33" fillId="4" borderId="1" xfId="0" applyFont="1" applyFill="1" applyBorder="1" applyAlignment="1">
      <alignment horizontal="center" wrapText="1"/>
    </xf>
    <xf numFmtId="0" fontId="14" fillId="4" borderId="1" xfId="0" applyFont="1" applyFill="1" applyBorder="1" applyAlignment="1">
      <alignment horizontal="center" wrapText="1"/>
    </xf>
    <xf numFmtId="0" fontId="31" fillId="4" borderId="20" xfId="0" applyFont="1" applyFill="1" applyBorder="1" applyAlignment="1">
      <alignment horizontal="center" wrapText="1"/>
    </xf>
    <xf numFmtId="0" fontId="0" fillId="4" borderId="15" xfId="0" applyFill="1" applyBorder="1" applyAlignment="1">
      <alignment horizontal="center" wrapText="1"/>
    </xf>
    <xf numFmtId="0" fontId="0" fillId="4" borderId="25" xfId="0" applyFill="1" applyBorder="1" applyAlignment="1">
      <alignment horizontal="center" wrapText="1"/>
    </xf>
    <xf numFmtId="0" fontId="0" fillId="0" borderId="1" xfId="0" applyBorder="1" applyAlignment="1" applyProtection="1">
      <alignment horizontal="center" vertical="center"/>
      <protection locked="0"/>
    </xf>
    <xf numFmtId="0" fontId="20" fillId="9" borderId="26" xfId="0" applyFont="1" applyFill="1" applyBorder="1" applyAlignment="1">
      <alignment horizontal="center" vertical="center" wrapText="1"/>
    </xf>
    <xf numFmtId="0" fontId="20" fillId="9" borderId="23" xfId="0" applyFont="1" applyFill="1" applyBorder="1" applyAlignment="1">
      <alignment horizontal="center" vertical="center" wrapText="1"/>
    </xf>
    <xf numFmtId="0" fontId="0" fillId="12" borderId="28" xfId="0" applyFill="1" applyBorder="1" applyAlignment="1">
      <alignment horizontal="center" vertical="center"/>
    </xf>
    <xf numFmtId="0" fontId="0" fillId="12" borderId="23" xfId="0" applyFill="1" applyBorder="1" applyAlignment="1">
      <alignment horizontal="center" vertical="center"/>
    </xf>
    <xf numFmtId="0" fontId="33" fillId="4" borderId="1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0" fontId="21" fillId="9" borderId="0" xfId="0" applyFont="1" applyFill="1" applyAlignment="1">
      <alignment horizontal="center"/>
    </xf>
    <xf numFmtId="0" fontId="41" fillId="4" borderId="20" xfId="0" applyFont="1" applyFill="1" applyBorder="1" applyAlignment="1">
      <alignment horizontal="center" vertical="center"/>
    </xf>
    <xf numFmtId="0" fontId="33" fillId="4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33" fillId="4" borderId="20" xfId="0" applyFont="1" applyFill="1" applyBorder="1" applyAlignment="1">
      <alignment horizontal="left" vertical="center"/>
    </xf>
    <xf numFmtId="0" fontId="25" fillId="4" borderId="15" xfId="0" applyFont="1" applyFill="1" applyBorder="1" applyAlignment="1">
      <alignment horizontal="left" vertical="center"/>
    </xf>
    <xf numFmtId="0" fontId="25" fillId="4" borderId="16" xfId="0" applyFont="1" applyFill="1" applyBorder="1" applyAlignment="1">
      <alignment horizontal="left" vertical="center"/>
    </xf>
    <xf numFmtId="0" fontId="14" fillId="12" borderId="1" xfId="0" applyFont="1" applyFill="1" applyBorder="1" applyAlignment="1">
      <alignment horizontal="center" vertical="center" wrapText="1"/>
    </xf>
    <xf numFmtId="0" fontId="21" fillId="4" borderId="15" xfId="0" applyFont="1" applyFill="1" applyBorder="1" applyAlignment="1">
      <alignment horizontal="center" vertical="center" wrapText="1"/>
    </xf>
    <xf numFmtId="0" fontId="21" fillId="4" borderId="16" xfId="0" applyFont="1" applyFill="1" applyBorder="1" applyAlignment="1">
      <alignment horizontal="center" vertical="center" wrapText="1"/>
    </xf>
  </cellXfs>
  <cellStyles count="7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Hyperlink" xfId="6" xr:uid="{00000000-0005-0000-0000-000006000000}"/>
    <cellStyle name="Normal" xfId="0" builtinId="0"/>
    <cellStyle name="Percent" xfId="1" xr:uid="{00000000-0005-0000-0000-000001000000}"/>
  </cellStyles>
  <dxfs count="35">
    <dxf>
      <font>
        <color auto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24991607409894101"/>
        </patternFill>
      </fill>
    </dxf>
    <dxf>
      <fill>
        <patternFill>
          <bgColor theme="0" tint="-0.24991607409894101"/>
        </patternFill>
      </fill>
    </dxf>
    <dxf>
      <fill>
        <patternFill>
          <bgColor theme="0" tint="-0.24991607409894101"/>
        </patternFill>
      </fill>
    </dxf>
    <dxf>
      <fill>
        <patternFill>
          <bgColor theme="0" tint="-0.24991607409894101"/>
        </patternFill>
      </fill>
    </dxf>
    <dxf>
      <fill>
        <patternFill>
          <bgColor theme="0" tint="-0.24991607409894101"/>
        </patternFill>
      </fill>
    </dxf>
    <dxf>
      <fill>
        <patternFill>
          <bgColor theme="0" tint="-0.24991607409894101"/>
        </patternFill>
      </fill>
    </dxf>
    <dxf>
      <font>
        <b/>
        <i val="0"/>
        <color rgb="FFFF0000"/>
      </font>
    </dxf>
    <dxf>
      <font>
        <b/>
        <i val="0"/>
        <color rgb="FF92D050"/>
      </font>
    </dxf>
    <dxf>
      <font>
        <b/>
        <i val="0"/>
        <color rgb="FF00B050"/>
      </font>
      <fill>
        <patternFill>
          <bgColor theme="0" tint="-0.14993743705557422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</dxf>
    <dxf>
      <font>
        <b/>
        <i val="0"/>
        <color rgb="FF92D050"/>
      </font>
    </dxf>
    <dxf>
      <font>
        <b/>
        <i val="0"/>
        <color rgb="FF92D050"/>
      </font>
    </dxf>
    <dxf>
      <font>
        <b/>
        <i val="0"/>
        <color rgb="FFFF0000"/>
      </font>
    </dxf>
    <dxf>
      <fill>
        <patternFill>
          <bgColor theme="0" tint="-0.24991607409894101"/>
        </patternFill>
      </fill>
    </dxf>
    <dxf>
      <fill>
        <patternFill>
          <bgColor theme="0" tint="-0.24991607409894101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b/>
        <i val="0"/>
        <color rgb="FF92D050"/>
      </font>
    </dxf>
    <dxf>
      <font>
        <b/>
        <i val="0"/>
        <color rgb="FFFF000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0" tint="-0.24991607409894101"/>
        </patternFill>
      </fill>
    </dxf>
    <dxf>
      <fill>
        <patternFill>
          <bgColor theme="0" tint="-0.3499557481612597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190500</xdr:rowOff>
    </xdr:from>
    <xdr:to>
      <xdr:col>5</xdr:col>
      <xdr:colOff>190500</xdr:colOff>
      <xdr:row>2</xdr:row>
      <xdr:rowOff>2228850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600325" y="657225"/>
          <a:ext cx="9896475" cy="2038350"/>
        </a:xfrm>
        <a:prstGeom prst="rect">
          <a:avLst/>
        </a:prstGeom>
        <a:solidFill>
          <a:schemeClr val="bg1"/>
        </a:solidFill>
        <a:ln w="9525" cmpd="sng">
          <a:solidFill>
            <a:schemeClr val="bg1">
              <a:shade val="50000"/>
            </a:schemeClr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anchor="t"/>
        <a:lstStyle/>
        <a:p>
          <a:r>
            <a:rPr lang="en-US" sz="1200" u="none" baseline="0">
              <a:solidFill>
                <a:srgbClr val="000000"/>
              </a:solidFill>
              <a:latin typeface="Calibri"/>
              <a:ea typeface="Calibri"/>
              <a:cs typeface="Calibri"/>
            </a:rPr>
            <a:t>Bydd yr offeryn codi taliadau hwn yn cyfrifo'r swm y mae angen i chi ei dalu am eich cais. 
Mae'n gofyn cwestiynau am y gweithgareddau ar eich gosodiad ac agweddau ar eich gweithrediadau a allai wneud i'r broses benderfynu gymryd mwy o amser. Defnyddir yr atebion i'r cwestiynau hynny i osod y cais mewn un o bedwar band taliadau.  
Yna ychwanegir y taliadau am “weithgareddau eraill”. Mae'r rhain yn weithgareddau a fyddai angen trwydded pe na baent yn rhan o'r gosodiad. Rydym yn codi swm i dalu am y gwaith asesu ychwanegol ar gyfer y gweithgareddau hyn. 
Mae'r gydran olaf ar gyfer "Asesiadau Ychwanegol". Dyma'r asesiadau arbenigol y gall fod angen i chi eu cyflwyno fel rhan o'ch cais pan fydd yr asesiad risg sgrinio sylfaenol yn nodi bod angen asesiad risg llawn wedi'i fodelu. </a:t>
          </a:r>
        </a:p>
      </xdr:txBody>
    </xdr:sp>
    <xdr:clientData/>
  </xdr:twoCellAnchor>
  <xdr:twoCellAnchor>
    <xdr:from>
      <xdr:col>2</xdr:col>
      <xdr:colOff>0</xdr:colOff>
      <xdr:row>2</xdr:row>
      <xdr:rowOff>2362201</xdr:rowOff>
    </xdr:from>
    <xdr:to>
      <xdr:col>5</xdr:col>
      <xdr:colOff>142875</xdr:colOff>
      <xdr:row>2</xdr:row>
      <xdr:rowOff>3657600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600325" y="2828926"/>
          <a:ext cx="9848850" cy="1295399"/>
        </a:xfrm>
        <a:prstGeom prst="rect">
          <a:avLst/>
        </a:prstGeom>
        <a:solidFill>
          <a:schemeClr val="bg1"/>
        </a:solidFill>
        <a:ln w="9525" cmpd="sng">
          <a:solidFill>
            <a:schemeClr val="bg1">
              <a:shade val="50000"/>
            </a:schemeClr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anchor="t"/>
        <a:lstStyle/>
        <a:p>
          <a:r>
            <a:rPr lang="en-US" sz="1100" u="none" baseline="0">
              <a:solidFill>
                <a:srgbClr val="000000"/>
              </a:solidFill>
              <a:latin typeface="Calibri"/>
              <a:ea typeface="Calibri"/>
              <a:cs typeface="Calibri"/>
            </a:rPr>
            <a:t>Mae tair tudalen i'w llenwi a gallwch ddefnyddio'r bysell tab i symud i'r gell nesaf ar bob tudalen
1 Gweithgareddau Rhestredig – Dyma lle rydych chi'n dweud wrthym am y gweithgareddau rhestredig Rhan A(1) rydych chi'n eu gweithredu. 
2 Gweithgareddau eraill – Dyma lle byddwch chi’n dweud wrthym pa weithgareddau Rhan A(2), Rhan B, Cyfarpar Hylosgi Canolig, Generadur Penodedig neu Wastraff yr ydych yn eu gweithredu fel rhan o'r gosodiad. 
3 Cais newydd – Mae'r wybodaeth o daflenni 1 a 2 yn cael ei throsglwyddo'n awtomatig i'r daflen hon. Yna mae angen i chi ateb y cwestiynau am agweddau a allai wneud y penderfyniad yn fwy cymhleth a nodi'r asesiadau ychwanegol yr ydych yn eu darparu. Dangosir y taliad ar ddiwedd y daflen hon. 
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995539</xdr:colOff>
      <xdr:row>2</xdr:row>
      <xdr:rowOff>172861</xdr:rowOff>
    </xdr:from>
    <xdr:to>
      <xdr:col>13</xdr:col>
      <xdr:colOff>706</xdr:colOff>
      <xdr:row>7</xdr:row>
      <xdr:rowOff>111125</xdr:rowOff>
    </xdr:to>
    <xdr:pic>
      <xdr:nvPicPr>
        <xdr:cNvPr id="6" name="Picture 3" descr="NRW logo 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010650" y="542925"/>
          <a:ext cx="1304925" cy="895350"/>
        </a:xfrm>
        <a:prstGeom prst="rect">
          <a:avLst/>
        </a:prstGeom>
        <a:noFill/>
        <a:ln w="19050">
          <a:solidFill>
            <a:srgbClr val="000000"/>
          </a:solidFill>
          <a:miter lim="800000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161925</xdr:colOff>
      <xdr:row>102</xdr:row>
      <xdr:rowOff>76200</xdr:rowOff>
    </xdr:from>
    <xdr:to>
      <xdr:col>22</xdr:col>
      <xdr:colOff>55524</xdr:colOff>
      <xdr:row>118</xdr:row>
      <xdr:rowOff>101601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30310" t="19660" b="38270"/>
        <a:stretch>
          <a:fillRect/>
        </a:stretch>
      </xdr:blipFill>
      <xdr:spPr>
        <a:xfrm>
          <a:off x="8791575" y="19783425"/>
          <a:ext cx="9067800" cy="3057525"/>
        </a:xfrm>
        <a:prstGeom prst="rect">
          <a:avLst/>
        </a:prstGeom>
      </xdr:spPr>
    </xdr:pic>
    <xdr:clientData/>
  </xdr:twoCellAnchor>
  <xdr:twoCellAnchor>
    <xdr:from>
      <xdr:col>12</xdr:col>
      <xdr:colOff>114300</xdr:colOff>
      <xdr:row>121</xdr:row>
      <xdr:rowOff>57150</xdr:rowOff>
    </xdr:from>
    <xdr:to>
      <xdr:col>21</xdr:col>
      <xdr:colOff>190500</xdr:colOff>
      <xdr:row>133</xdr:row>
      <xdr:rowOff>76200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SpPr txBox="1"/>
      </xdr:nvSpPr>
      <xdr:spPr>
        <a:xfrm>
          <a:off x="9353550" y="23336250"/>
          <a:ext cx="7200900" cy="2209800"/>
        </a:xfrm>
        <a:prstGeom prst="rect">
          <a:avLst/>
        </a:prstGeom>
        <a:solidFill>
          <a:schemeClr val="bg1"/>
        </a:solidFill>
        <a:ln w="9525" cmpd="sng">
          <a:solidFill>
            <a:schemeClr val="bg1">
              <a:shade val="50000"/>
            </a:schemeClr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anchor="t"/>
        <a:lstStyle/>
        <a:p>
          <a:r>
            <a:rPr lang="en-US" sz="1100" u="none" baseline="0">
              <a:solidFill>
                <a:srgbClr val="000000"/>
              </a:solidFill>
              <a:latin typeface="Calibri"/>
              <a:ea typeface="Calibri"/>
              <a:cs typeface="Calibri"/>
            </a:rPr>
            <a:t>Ond – gweler hefyd baragraff 5
NID yw gweithgaredd sy’n dod o fewn is-baragraff 4 (rhestr uchod) yn weithgaredd rheoli gwastraff penoedig os:
a) y’i cynhelir yn yr un gosodiad â gweithgaredd Rhan A(1) nas crybwyllir yn is-baragraff 4; A
b) nid dyma'r prif ddiben ar gyfer gweithredu'r gosodiad
Felly, dim ond os dyma’r prif weithgaredd ar y gosodiad y mae Rheolaeth Dechnegol Gymhwysol yn berthnasol i'r gweithgareddau hynny. 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ippcb.jrc.ec.europa.eu/reference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assets.publishing.service.gov.uk/government/uploads/system/uploads/attachment_data/file/935917/environmental-permitting-core-guidance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s://www.legislation.gov.uk/uksi/2018/1227/made" TargetMode="External"/><Relationship Id="rId1" Type="http://schemas.openxmlformats.org/officeDocument/2006/relationships/hyperlink" Target="https://eippcb.jrc.ec.europa.eu/reference/" TargetMode="External"/><Relationship Id="rId6" Type="http://schemas.openxmlformats.org/officeDocument/2006/relationships/comments" Target="../comments2.xml"/><Relationship Id="rId5" Type="http://schemas.openxmlformats.org/officeDocument/2006/relationships/vmlDrawing" Target="../drawings/vmlDrawing2.vml"/><Relationship Id="rId4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96933-F489-466F-98DA-B70D8A784AA8}">
  <dimension ref="A1:U53"/>
  <sheetViews>
    <sheetView workbookViewId="0">
      <selection activeCell="C2" sqref="C2"/>
    </sheetView>
  </sheetViews>
  <sheetFormatPr defaultRowHeight="14.4" x14ac:dyDescent="0.3"/>
  <cols>
    <col min="1" max="1" width="9.109375" customWidth="1"/>
    <col min="2" max="2" width="29.88671875" customWidth="1"/>
    <col min="3" max="3" width="13.109375" customWidth="1"/>
    <col min="4" max="4" width="123.33203125" customWidth="1"/>
    <col min="5" max="21" width="9.109375" customWidth="1"/>
  </cols>
  <sheetData>
    <row r="1" spans="1:21" ht="15" thickBot="1" x14ac:dyDescent="0.35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</row>
    <row r="2" spans="1:21" ht="21" customHeight="1" thickBot="1" x14ac:dyDescent="0.35">
      <c r="A2" s="18"/>
      <c r="B2" s="246" t="s">
        <v>0</v>
      </c>
      <c r="C2" s="247" t="str">
        <f>'Cais newydd'!C2</f>
        <v>SRoC CNC f2 2024-25</v>
      </c>
      <c r="D2" s="227"/>
      <c r="E2" s="22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</row>
    <row r="3" spans="1:21" ht="289.5" customHeight="1" x14ac:dyDescent="0.3">
      <c r="A3" s="18"/>
      <c r="B3" s="18"/>
      <c r="C3" s="18"/>
      <c r="D3" s="203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</row>
    <row r="4" spans="1:21" x14ac:dyDescent="0.3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</row>
    <row r="5" spans="1:21" ht="24.9" customHeight="1" x14ac:dyDescent="0.3">
      <c r="A5" s="18"/>
      <c r="B5" s="248" t="s">
        <v>1</v>
      </c>
      <c r="C5" s="248" t="s">
        <v>2</v>
      </c>
      <c r="D5" s="248" t="s">
        <v>3</v>
      </c>
      <c r="E5" s="85"/>
      <c r="F5" s="168"/>
      <c r="G5" s="168"/>
      <c r="H5" s="168"/>
      <c r="I5" s="168"/>
      <c r="J5" s="16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</row>
    <row r="6" spans="1:21" ht="95.25" customHeight="1" x14ac:dyDescent="0.3">
      <c r="A6" s="204"/>
      <c r="B6" s="249" t="s">
        <v>4</v>
      </c>
      <c r="C6" s="250" t="s">
        <v>5</v>
      </c>
      <c r="D6" s="251" t="s">
        <v>6</v>
      </c>
      <c r="E6" s="170"/>
      <c r="F6" s="206"/>
      <c r="G6" s="207"/>
      <c r="H6" s="355" t="s">
        <v>7</v>
      </c>
      <c r="I6" s="356"/>
      <c r="J6" s="356"/>
      <c r="K6" s="356"/>
      <c r="L6" s="208"/>
      <c r="M6" s="208"/>
      <c r="N6" s="208"/>
      <c r="O6" s="208"/>
      <c r="P6" s="209"/>
      <c r="Q6" s="18"/>
      <c r="R6" s="18"/>
      <c r="S6" s="18"/>
      <c r="T6" s="18"/>
      <c r="U6" s="18"/>
    </row>
    <row r="7" spans="1:21" ht="28.5" customHeight="1" x14ac:dyDescent="0.3">
      <c r="A7" s="204"/>
      <c r="B7" s="252" t="s">
        <v>8</v>
      </c>
      <c r="C7" s="269" t="s">
        <v>9</v>
      </c>
      <c r="D7" s="342" t="s">
        <v>10</v>
      </c>
      <c r="E7" s="18"/>
      <c r="F7" s="210"/>
      <c r="G7" s="211"/>
      <c r="H7" s="211"/>
      <c r="I7" s="211"/>
      <c r="J7" s="211"/>
      <c r="K7" s="211"/>
      <c r="L7" s="211"/>
      <c r="M7" s="211"/>
      <c r="N7" s="211"/>
      <c r="O7" s="211"/>
      <c r="P7" s="212"/>
      <c r="Q7" s="18"/>
      <c r="R7" s="18"/>
      <c r="S7" s="18"/>
      <c r="T7" s="18"/>
      <c r="U7" s="18"/>
    </row>
    <row r="8" spans="1:21" ht="37.5" customHeight="1" x14ac:dyDescent="0.3">
      <c r="A8" s="204"/>
      <c r="B8" s="204"/>
      <c r="C8" s="264" t="s">
        <v>11</v>
      </c>
      <c r="D8" s="343" t="s">
        <v>12</v>
      </c>
      <c r="E8" s="18"/>
      <c r="F8" s="213"/>
      <c r="G8" s="214"/>
      <c r="H8" s="215"/>
      <c r="I8" s="357" t="s">
        <v>13</v>
      </c>
      <c r="J8" s="358"/>
      <c r="K8" s="358"/>
      <c r="L8" s="359"/>
      <c r="M8" s="211"/>
      <c r="N8" s="211"/>
      <c r="O8" s="211"/>
      <c r="P8" s="212"/>
      <c r="Q8" s="18"/>
      <c r="R8" s="18"/>
      <c r="S8" s="18"/>
      <c r="T8" s="18"/>
      <c r="U8" s="18"/>
    </row>
    <row r="9" spans="1:21" ht="24.75" customHeight="1" x14ac:dyDescent="0.3">
      <c r="A9" s="204"/>
      <c r="B9" s="204"/>
      <c r="C9" s="264" t="s">
        <v>14</v>
      </c>
      <c r="D9" s="343" t="s">
        <v>15</v>
      </c>
      <c r="E9" s="18"/>
      <c r="F9" s="213"/>
      <c r="G9" s="256" t="s">
        <v>16</v>
      </c>
      <c r="H9" s="211"/>
      <c r="I9" s="216">
        <v>0</v>
      </c>
      <c r="J9" s="217">
        <v>1</v>
      </c>
      <c r="K9" s="217">
        <v>2</v>
      </c>
      <c r="L9" s="257" t="s">
        <v>17</v>
      </c>
      <c r="M9" s="211"/>
      <c r="N9" s="211"/>
      <c r="O9" s="211"/>
      <c r="P9" s="212"/>
      <c r="Q9" s="18"/>
      <c r="R9" s="18"/>
      <c r="S9" s="18"/>
      <c r="T9" s="18"/>
      <c r="U9" s="18"/>
    </row>
    <row r="10" spans="1:21" ht="30.75" customHeight="1" x14ac:dyDescent="0.3">
      <c r="A10" s="204"/>
      <c r="B10" s="204"/>
      <c r="C10" s="264" t="s">
        <v>18</v>
      </c>
      <c r="D10" s="343" t="s">
        <v>19</v>
      </c>
      <c r="E10" s="18"/>
      <c r="F10" s="213"/>
      <c r="G10" s="258" t="s">
        <v>20</v>
      </c>
      <c r="H10" s="211"/>
      <c r="I10" s="216">
        <v>0</v>
      </c>
      <c r="J10" s="217">
        <v>1</v>
      </c>
      <c r="K10" s="217">
        <v>2</v>
      </c>
      <c r="L10" s="259" t="s">
        <v>17</v>
      </c>
      <c r="M10" s="211"/>
      <c r="N10" s="211"/>
      <c r="O10" s="211"/>
      <c r="P10" s="212"/>
      <c r="Q10" s="18"/>
      <c r="R10" s="18"/>
      <c r="S10" s="18"/>
      <c r="T10" s="18"/>
      <c r="U10" s="18"/>
    </row>
    <row r="11" spans="1:21" ht="24.75" customHeight="1" x14ac:dyDescent="0.3">
      <c r="A11" s="204"/>
      <c r="B11" s="204"/>
      <c r="C11" s="264" t="s">
        <v>21</v>
      </c>
      <c r="D11" s="343" t="s">
        <v>22</v>
      </c>
      <c r="E11" s="18"/>
      <c r="F11" s="213"/>
      <c r="G11" s="258" t="s">
        <v>23</v>
      </c>
      <c r="H11" s="211"/>
      <c r="I11" s="219">
        <v>0</v>
      </c>
      <c r="J11" s="260" t="s">
        <v>24</v>
      </c>
      <c r="K11" s="261" t="s">
        <v>25</v>
      </c>
      <c r="L11" s="262" t="s">
        <v>26</v>
      </c>
      <c r="M11" s="211"/>
      <c r="N11" s="211"/>
      <c r="O11" s="211"/>
      <c r="P11" s="212"/>
      <c r="Q11" s="18"/>
      <c r="R11" s="18"/>
      <c r="S11" s="18"/>
      <c r="T11" s="18"/>
      <c r="U11" s="18"/>
    </row>
    <row r="12" spans="1:21" ht="21.75" customHeight="1" x14ac:dyDescent="0.3">
      <c r="A12" s="204"/>
      <c r="B12" s="204"/>
      <c r="C12" s="264" t="s">
        <v>27</v>
      </c>
      <c r="D12" s="343" t="s">
        <v>28</v>
      </c>
      <c r="E12" s="18"/>
      <c r="F12" s="213"/>
      <c r="G12" s="210"/>
      <c r="H12" s="211"/>
      <c r="I12" s="216"/>
      <c r="J12" s="217"/>
      <c r="K12" s="217"/>
      <c r="L12" s="218"/>
      <c r="M12" s="211"/>
      <c r="N12" s="211"/>
      <c r="O12" s="211"/>
      <c r="P12" s="212"/>
      <c r="Q12" s="18"/>
      <c r="R12" s="18"/>
      <c r="S12" s="18"/>
      <c r="T12" s="18"/>
      <c r="U12" s="18"/>
    </row>
    <row r="13" spans="1:21" ht="21" customHeight="1" x14ac:dyDescent="0.3">
      <c r="A13" s="204"/>
      <c r="B13" s="204"/>
      <c r="C13" s="264" t="s">
        <v>29</v>
      </c>
      <c r="D13" s="343" t="s">
        <v>30</v>
      </c>
      <c r="E13" s="18"/>
      <c r="F13" s="213"/>
      <c r="G13" s="220"/>
      <c r="H13" s="263" t="s">
        <v>31</v>
      </c>
      <c r="I13" s="222">
        <v>0</v>
      </c>
      <c r="J13" s="2">
        <v>1</v>
      </c>
      <c r="K13" s="2">
        <v>2</v>
      </c>
      <c r="L13" s="1">
        <v>3</v>
      </c>
      <c r="M13" s="211"/>
      <c r="N13" s="211"/>
      <c r="O13" s="211"/>
      <c r="P13" s="212"/>
      <c r="Q13" s="18"/>
      <c r="R13" s="18"/>
      <c r="S13" s="18"/>
      <c r="T13" s="18"/>
      <c r="U13" s="18"/>
    </row>
    <row r="14" spans="1:21" ht="21" customHeight="1" x14ac:dyDescent="0.3">
      <c r="A14" s="204"/>
      <c r="B14" s="204"/>
      <c r="C14" s="341"/>
      <c r="D14" s="344" t="s">
        <v>32</v>
      </c>
      <c r="E14" s="18"/>
      <c r="F14" s="210"/>
      <c r="G14" s="211"/>
      <c r="H14" s="211"/>
      <c r="I14" s="217"/>
      <c r="J14" s="217"/>
      <c r="K14" s="217"/>
      <c r="L14" s="217"/>
      <c r="M14" s="211"/>
      <c r="N14" s="211"/>
      <c r="O14" s="211"/>
      <c r="P14" s="212"/>
      <c r="Q14" s="18"/>
      <c r="R14" s="18"/>
      <c r="S14" s="18"/>
      <c r="T14" s="18"/>
      <c r="U14" s="18"/>
    </row>
    <row r="15" spans="1:21" ht="35.25" customHeight="1" x14ac:dyDescent="0.3">
      <c r="A15" s="204"/>
      <c r="B15" s="204"/>
      <c r="C15" s="264" t="s">
        <v>33</v>
      </c>
      <c r="D15" s="343" t="s">
        <v>34</v>
      </c>
      <c r="E15" s="18"/>
      <c r="F15" s="210"/>
      <c r="G15" s="211"/>
      <c r="H15" s="211"/>
      <c r="I15" s="211"/>
      <c r="J15" s="211"/>
      <c r="K15" s="211"/>
      <c r="L15" s="211"/>
      <c r="M15" s="211"/>
      <c r="N15" s="211"/>
      <c r="O15" s="211"/>
      <c r="P15" s="212"/>
      <c r="Q15" s="18"/>
      <c r="R15" s="18"/>
      <c r="S15" s="18"/>
      <c r="T15" s="18"/>
      <c r="U15" s="18"/>
    </row>
    <row r="16" spans="1:21" x14ac:dyDescent="0.3">
      <c r="A16" s="204"/>
      <c r="B16" s="204"/>
      <c r="C16" s="341"/>
      <c r="D16" s="345"/>
      <c r="E16" s="18"/>
      <c r="F16" s="210"/>
      <c r="G16" s="265" t="s">
        <v>35</v>
      </c>
      <c r="H16" s="211"/>
      <c r="I16" s="211"/>
      <c r="J16" s="211"/>
      <c r="K16" s="211"/>
      <c r="L16" s="211"/>
      <c r="M16" s="211"/>
      <c r="N16" s="211"/>
      <c r="O16" s="211"/>
      <c r="P16" s="212"/>
      <c r="Q16" s="18"/>
      <c r="R16" s="18"/>
      <c r="S16" s="18"/>
      <c r="T16" s="18"/>
      <c r="U16" s="18"/>
    </row>
    <row r="17" spans="1:21" ht="57.6" x14ac:dyDescent="0.3">
      <c r="A17" s="204"/>
      <c r="B17" s="204"/>
      <c r="C17" s="341"/>
      <c r="D17" s="346" t="s">
        <v>36</v>
      </c>
      <c r="E17" s="18"/>
      <c r="F17" s="210"/>
      <c r="G17" s="211"/>
      <c r="H17" s="211"/>
      <c r="I17" s="211"/>
      <c r="J17" s="211"/>
      <c r="K17" s="211"/>
      <c r="L17" s="211"/>
      <c r="M17" s="211"/>
      <c r="N17" s="211"/>
      <c r="O17" s="211"/>
      <c r="P17" s="212"/>
      <c r="Q17" s="18"/>
      <c r="R17" s="18"/>
      <c r="S17" s="18"/>
      <c r="T17" s="18"/>
      <c r="U17" s="18"/>
    </row>
    <row r="18" spans="1:21" x14ac:dyDescent="0.3">
      <c r="A18" s="204"/>
      <c r="B18" s="224"/>
      <c r="C18" s="224"/>
      <c r="D18" s="224"/>
      <c r="E18" s="18"/>
      <c r="F18" s="210"/>
      <c r="G18" s="265" t="s">
        <v>37</v>
      </c>
      <c r="H18" s="265" t="s">
        <v>38</v>
      </c>
      <c r="I18" s="211"/>
      <c r="J18" s="211"/>
      <c r="K18" s="211"/>
      <c r="L18" s="211"/>
      <c r="M18" s="211"/>
      <c r="N18" s="211"/>
      <c r="O18" s="211"/>
      <c r="P18" s="212"/>
      <c r="Q18" s="18"/>
      <c r="R18" s="18"/>
      <c r="S18" s="18"/>
      <c r="T18" s="18"/>
      <c r="U18" s="18"/>
    </row>
    <row r="19" spans="1:21" x14ac:dyDescent="0.3">
      <c r="A19" s="204"/>
      <c r="B19" s="204"/>
      <c r="C19" s="205"/>
      <c r="D19" s="205"/>
      <c r="E19" s="18"/>
      <c r="F19" s="210"/>
      <c r="G19" s="265" t="s">
        <v>39</v>
      </c>
      <c r="H19" s="265" t="s">
        <v>40</v>
      </c>
      <c r="I19" s="211"/>
      <c r="J19" s="211"/>
      <c r="K19" s="211"/>
      <c r="L19" s="211"/>
      <c r="M19" s="211"/>
      <c r="N19" s="211"/>
      <c r="O19" s="211"/>
      <c r="P19" s="212"/>
      <c r="Q19" s="18"/>
      <c r="R19" s="18"/>
      <c r="S19" s="18"/>
      <c r="T19" s="18"/>
      <c r="U19" s="18"/>
    </row>
    <row r="20" spans="1:21" ht="21" customHeight="1" x14ac:dyDescent="0.3">
      <c r="A20" s="204"/>
      <c r="B20" s="266" t="s">
        <v>41</v>
      </c>
      <c r="C20" s="254" t="s">
        <v>14</v>
      </c>
      <c r="D20" s="254" t="s">
        <v>42</v>
      </c>
      <c r="E20" s="18"/>
      <c r="F20" s="210"/>
      <c r="G20" s="265" t="s">
        <v>43</v>
      </c>
      <c r="H20" s="265" t="s">
        <v>44</v>
      </c>
      <c r="I20" s="265" t="s">
        <v>45</v>
      </c>
      <c r="J20" s="211"/>
      <c r="K20" s="211"/>
      <c r="L20" s="211"/>
      <c r="M20" s="211"/>
      <c r="N20" s="211"/>
      <c r="O20" s="211"/>
      <c r="P20" s="212"/>
      <c r="Q20" s="18"/>
      <c r="R20" s="18"/>
      <c r="S20" s="18"/>
      <c r="T20" s="18"/>
      <c r="U20" s="18"/>
    </row>
    <row r="21" spans="1:21" ht="55.5" customHeight="1" x14ac:dyDescent="0.3">
      <c r="A21" s="204"/>
      <c r="B21" s="204"/>
      <c r="C21" s="254" t="s">
        <v>46</v>
      </c>
      <c r="D21" s="255" t="s">
        <v>47</v>
      </c>
      <c r="E21" s="18"/>
      <c r="F21" s="210"/>
      <c r="G21" s="211"/>
      <c r="H21" s="211"/>
      <c r="I21" s="211"/>
      <c r="J21" s="211"/>
      <c r="K21" s="211"/>
      <c r="L21" s="211"/>
      <c r="M21" s="211"/>
      <c r="N21" s="211"/>
      <c r="O21" s="211"/>
      <c r="P21" s="212"/>
      <c r="Q21" s="18"/>
      <c r="R21" s="18"/>
      <c r="S21" s="18"/>
      <c r="T21" s="18"/>
      <c r="U21" s="18"/>
    </row>
    <row r="22" spans="1:21" ht="34.5" customHeight="1" x14ac:dyDescent="0.3">
      <c r="A22" s="204"/>
      <c r="B22" s="204"/>
      <c r="C22" s="18"/>
      <c r="D22" s="255" t="s">
        <v>48</v>
      </c>
      <c r="E22" s="18"/>
      <c r="F22" s="360" t="s">
        <v>49</v>
      </c>
      <c r="G22" s="361"/>
      <c r="H22" s="361"/>
      <c r="I22" s="361"/>
      <c r="J22" s="361"/>
      <c r="K22" s="361"/>
      <c r="L22" s="361"/>
      <c r="M22" s="361"/>
      <c r="N22" s="361"/>
      <c r="O22" s="361"/>
      <c r="P22" s="362"/>
      <c r="Q22" s="18"/>
      <c r="R22" s="18"/>
      <c r="S22" s="18"/>
      <c r="T22" s="18"/>
      <c r="U22" s="18"/>
    </row>
    <row r="23" spans="1:21" ht="35.25" customHeight="1" x14ac:dyDescent="0.3">
      <c r="A23" s="204"/>
      <c r="B23" s="204"/>
      <c r="C23" s="254" t="s">
        <v>50</v>
      </c>
      <c r="D23" s="255" t="s">
        <v>51</v>
      </c>
      <c r="E23" s="18"/>
      <c r="F23" s="210"/>
      <c r="G23" s="211"/>
      <c r="H23" s="211"/>
      <c r="I23" s="211"/>
      <c r="J23" s="211"/>
      <c r="K23" s="211"/>
      <c r="L23" s="211"/>
      <c r="M23" s="211"/>
      <c r="N23" s="211"/>
      <c r="O23" s="211"/>
      <c r="P23" s="212"/>
      <c r="Q23" s="18"/>
      <c r="R23" s="18"/>
      <c r="S23" s="18"/>
      <c r="T23" s="18"/>
      <c r="U23" s="18"/>
    </row>
    <row r="24" spans="1:21" ht="20.25" customHeight="1" x14ac:dyDescent="0.3">
      <c r="A24" s="204"/>
      <c r="B24" s="204"/>
      <c r="C24" s="18"/>
      <c r="D24" s="255" t="s">
        <v>52</v>
      </c>
      <c r="E24" s="18"/>
      <c r="F24" s="360" t="s">
        <v>53</v>
      </c>
      <c r="G24" s="361"/>
      <c r="H24" s="361"/>
      <c r="I24" s="361"/>
      <c r="J24" s="361"/>
      <c r="K24" s="361"/>
      <c r="L24" s="361"/>
      <c r="M24" s="361"/>
      <c r="N24" s="361"/>
      <c r="O24" s="361"/>
      <c r="P24" s="362"/>
      <c r="Q24" s="18"/>
      <c r="R24" s="18"/>
      <c r="S24" s="18"/>
      <c r="T24" s="18"/>
      <c r="U24" s="18"/>
    </row>
    <row r="25" spans="1:21" ht="33" customHeight="1" x14ac:dyDescent="0.3">
      <c r="A25" s="204"/>
      <c r="B25" s="224"/>
      <c r="C25" s="224"/>
      <c r="D25" s="224"/>
      <c r="E25" s="18"/>
      <c r="F25" s="352" t="s">
        <v>54</v>
      </c>
      <c r="G25" s="353"/>
      <c r="H25" s="353"/>
      <c r="I25" s="353"/>
      <c r="J25" s="353"/>
      <c r="K25" s="353"/>
      <c r="L25" s="353"/>
      <c r="M25" s="353"/>
      <c r="N25" s="353"/>
      <c r="O25" s="353"/>
      <c r="P25" s="354"/>
      <c r="Q25" s="18"/>
      <c r="R25" s="18"/>
      <c r="S25" s="18"/>
      <c r="T25" s="18"/>
      <c r="U25" s="18"/>
    </row>
    <row r="26" spans="1:21" x14ac:dyDescent="0.3">
      <c r="A26" s="204"/>
      <c r="B26" s="204"/>
      <c r="C26" s="205"/>
      <c r="D26" s="205"/>
      <c r="E26" s="18"/>
      <c r="F26" s="210"/>
      <c r="G26" s="211"/>
      <c r="H26" s="211"/>
      <c r="I26" s="211"/>
      <c r="J26" s="211"/>
      <c r="K26" s="211"/>
      <c r="L26" s="211"/>
      <c r="M26" s="211"/>
      <c r="N26" s="211"/>
      <c r="O26" s="211"/>
      <c r="P26" s="212"/>
      <c r="Q26" s="18"/>
      <c r="R26" s="18"/>
      <c r="S26" s="18"/>
      <c r="T26" s="18"/>
      <c r="U26" s="18"/>
    </row>
    <row r="27" spans="1:21" ht="48" customHeight="1" x14ac:dyDescent="0.3">
      <c r="A27" s="204"/>
      <c r="B27" s="267" t="s">
        <v>55</v>
      </c>
      <c r="C27" s="350" t="s">
        <v>56</v>
      </c>
      <c r="D27" s="255" t="s">
        <v>57</v>
      </c>
      <c r="E27" s="18"/>
      <c r="F27" s="352" t="s">
        <v>58</v>
      </c>
      <c r="G27" s="353"/>
      <c r="H27" s="353"/>
      <c r="I27" s="353"/>
      <c r="J27" s="353"/>
      <c r="K27" s="353"/>
      <c r="L27" s="353"/>
      <c r="M27" s="353"/>
      <c r="N27" s="353"/>
      <c r="O27" s="353"/>
      <c r="P27" s="354"/>
      <c r="Q27" s="18"/>
      <c r="R27" s="18"/>
      <c r="S27" s="18"/>
      <c r="T27" s="18"/>
      <c r="U27" s="18"/>
    </row>
    <row r="28" spans="1:21" ht="40.5" customHeight="1" x14ac:dyDescent="0.3">
      <c r="A28" s="204"/>
      <c r="B28" s="225"/>
      <c r="C28" s="351"/>
      <c r="D28" s="268" t="s">
        <v>59</v>
      </c>
      <c r="E28" s="18"/>
      <c r="F28" s="220"/>
      <c r="G28" s="221"/>
      <c r="H28" s="221"/>
      <c r="I28" s="221"/>
      <c r="J28" s="221"/>
      <c r="K28" s="221"/>
      <c r="L28" s="221"/>
      <c r="M28" s="221"/>
      <c r="N28" s="221"/>
      <c r="O28" s="221"/>
      <c r="P28" s="223"/>
      <c r="Q28" s="18"/>
      <c r="R28" s="18"/>
      <c r="S28" s="18"/>
      <c r="T28" s="18"/>
      <c r="U28" s="18"/>
    </row>
    <row r="29" spans="1:21" ht="125.25" customHeight="1" x14ac:dyDescent="0.3">
      <c r="A29" s="204"/>
      <c r="B29" s="204"/>
      <c r="C29" s="269" t="s">
        <v>60</v>
      </c>
      <c r="D29" s="253" t="s">
        <v>61</v>
      </c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</row>
    <row r="30" spans="1:21" ht="38.25" customHeight="1" x14ac:dyDescent="0.3">
      <c r="A30" s="204"/>
      <c r="B30" s="204"/>
      <c r="C30" s="226"/>
      <c r="D30" s="270" t="s">
        <v>62</v>
      </c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</row>
    <row r="31" spans="1:21" ht="37.5" customHeight="1" x14ac:dyDescent="0.3">
      <c r="A31" s="204"/>
      <c r="B31" s="204"/>
      <c r="C31" s="271" t="s">
        <v>63</v>
      </c>
      <c r="D31" s="272" t="s">
        <v>64</v>
      </c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</row>
    <row r="32" spans="1:21" ht="40.5" customHeight="1" x14ac:dyDescent="0.3">
      <c r="A32" s="204"/>
      <c r="B32" s="204"/>
      <c r="C32" s="271" t="s">
        <v>65</v>
      </c>
      <c r="D32" s="272" t="s">
        <v>66</v>
      </c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</row>
    <row r="33" spans="1:21" ht="38.25" customHeight="1" x14ac:dyDescent="0.3">
      <c r="A33" s="204"/>
      <c r="B33" s="204"/>
      <c r="C33" s="342" t="s">
        <v>67</v>
      </c>
      <c r="D33" s="253" t="s">
        <v>68</v>
      </c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</row>
    <row r="34" spans="1:21" x14ac:dyDescent="0.3">
      <c r="A34" s="18"/>
      <c r="B34" s="205"/>
      <c r="C34" s="205"/>
      <c r="D34" s="254" t="s">
        <v>69</v>
      </c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</row>
    <row r="35" spans="1:21" x14ac:dyDescent="0.3">
      <c r="A35" s="18"/>
      <c r="B35" s="224"/>
      <c r="C35" s="224"/>
      <c r="D35" s="224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</row>
    <row r="36" spans="1:21" x14ac:dyDescent="0.3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</row>
    <row r="37" spans="1:21" x14ac:dyDescent="0.3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</row>
    <row r="38" spans="1:21" x14ac:dyDescent="0.3">
      <c r="A38" s="18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</row>
    <row r="39" spans="1:21" x14ac:dyDescent="0.3">
      <c r="A39" s="18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</row>
    <row r="40" spans="1:21" x14ac:dyDescent="0.3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</row>
    <row r="41" spans="1:21" x14ac:dyDescent="0.3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</row>
    <row r="42" spans="1:21" x14ac:dyDescent="0.3">
      <c r="A42" s="18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</row>
    <row r="43" spans="1:21" x14ac:dyDescent="0.3">
      <c r="A43" s="18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</row>
    <row r="44" spans="1:21" x14ac:dyDescent="0.3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</row>
    <row r="45" spans="1:21" x14ac:dyDescent="0.3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</row>
    <row r="46" spans="1:21" x14ac:dyDescent="0.3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</row>
    <row r="47" spans="1:21" x14ac:dyDescent="0.3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</row>
    <row r="48" spans="1:21" x14ac:dyDescent="0.3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</row>
    <row r="49" spans="1:21" x14ac:dyDescent="0.3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</row>
    <row r="50" spans="1:21" x14ac:dyDescent="0.3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</row>
    <row r="51" spans="1:21" x14ac:dyDescent="0.3"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</row>
    <row r="52" spans="1:21" x14ac:dyDescent="0.3">
      <c r="B52" s="18"/>
      <c r="C52" s="18"/>
      <c r="D52" s="18"/>
    </row>
    <row r="53" spans="1:21" x14ac:dyDescent="0.3">
      <c r="B53" s="18"/>
      <c r="C53" s="18"/>
      <c r="D53" s="18"/>
    </row>
  </sheetData>
  <sheetProtection algorithmName="SHA-512" hashValue="ak0mm7yPtc4th20rm+6gnh7p1jb4FOcJM/n533ujweTWGR8/4qfasO0DwcJjVNjQs7bIj9M+vnE66wn15jD0ig==" saltValue="JoT+Ukpd6nSY1mv73mN6bA==" spinCount="100000" sheet="1" objects="1" scenarios="1"/>
  <mergeCells count="7">
    <mergeCell ref="C27:C28"/>
    <mergeCell ref="F27:P27"/>
    <mergeCell ref="H6:K6"/>
    <mergeCell ref="I8:L8"/>
    <mergeCell ref="F22:P22"/>
    <mergeCell ref="F24:P24"/>
    <mergeCell ref="F25:P25"/>
  </mergeCells>
  <hyperlinks>
    <hyperlink ref="D14" r:id="rId1" xr:uid="{00000000-0004-0000-0000-000000000000}"/>
  </hyperlink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58C3D-934B-45EF-A9AE-2C6D2FE5A91A}">
  <sheetPr>
    <tabColor rgb="FF00B0F0"/>
  </sheetPr>
  <dimension ref="A1:Y34"/>
  <sheetViews>
    <sheetView tabSelected="1" workbookViewId="0">
      <selection activeCell="C14" sqref="C14"/>
    </sheetView>
  </sheetViews>
  <sheetFormatPr defaultRowHeight="14.4" x14ac:dyDescent="0.3"/>
  <cols>
    <col min="1" max="2" width="9.109375" customWidth="1"/>
    <col min="3" max="3" width="14.44140625" customWidth="1"/>
    <col min="4" max="4" width="12.5546875" customWidth="1"/>
    <col min="5" max="5" width="11.88671875" customWidth="1"/>
    <col min="6" max="6" width="12.109375" customWidth="1"/>
    <col min="7" max="7" width="12.33203125" customWidth="1"/>
    <col min="8" max="8" width="13.109375" customWidth="1"/>
    <col min="9" max="9" width="13.33203125" customWidth="1"/>
    <col min="10" max="10" width="12.109375" customWidth="1"/>
    <col min="11" max="11" width="16.109375" style="4" customWidth="1"/>
    <col min="12" max="25" width="9.109375" customWidth="1"/>
  </cols>
  <sheetData>
    <row r="1" spans="1:17" x14ac:dyDescent="0.3">
      <c r="A1" s="18"/>
      <c r="B1" s="18"/>
      <c r="C1" s="18"/>
      <c r="D1" s="18"/>
      <c r="E1" s="18"/>
      <c r="F1" s="18"/>
      <c r="G1" s="18"/>
      <c r="H1" s="18"/>
      <c r="I1" s="18"/>
      <c r="J1" s="18"/>
      <c r="K1" s="30"/>
      <c r="L1" s="18"/>
      <c r="M1" s="18"/>
      <c r="N1" s="18"/>
      <c r="O1" s="18"/>
      <c r="P1" s="18"/>
      <c r="Q1" s="18"/>
    </row>
    <row r="2" spans="1:17" ht="15" thickBot="1" x14ac:dyDescent="0.35">
      <c r="A2" s="18"/>
      <c r="B2" s="18"/>
      <c r="C2" s="18"/>
      <c r="D2" s="18"/>
      <c r="E2" s="18"/>
      <c r="F2" s="18"/>
      <c r="G2" s="18"/>
      <c r="H2" s="18"/>
      <c r="I2" s="18"/>
      <c r="J2" s="18"/>
      <c r="K2" s="30"/>
      <c r="L2" s="18"/>
      <c r="M2" s="18"/>
      <c r="N2" s="18"/>
      <c r="O2" s="18"/>
      <c r="P2" s="18"/>
      <c r="Q2" s="18"/>
    </row>
    <row r="3" spans="1:17" ht="15" thickBot="1" x14ac:dyDescent="0.35">
      <c r="A3" s="18"/>
      <c r="B3" s="246" t="s">
        <v>0</v>
      </c>
      <c r="C3" s="247" t="str">
        <f>'Cais newydd'!C2</f>
        <v>SRoC CNC f2 2024-25</v>
      </c>
      <c r="D3" s="227"/>
      <c r="E3" s="228"/>
      <c r="F3" s="15"/>
      <c r="G3" s="15"/>
      <c r="H3" s="15"/>
      <c r="I3" s="15"/>
      <c r="J3" s="15"/>
      <c r="K3" s="16"/>
      <c r="L3" s="15"/>
      <c r="M3" s="15"/>
      <c r="N3" s="19"/>
      <c r="O3" s="18"/>
      <c r="P3" s="18"/>
      <c r="Q3" s="18"/>
    </row>
    <row r="4" spans="1:17" ht="15" customHeight="1" x14ac:dyDescent="0.3">
      <c r="A4" s="18"/>
      <c r="B4" s="17"/>
      <c r="C4" s="18"/>
      <c r="D4" s="363" t="s">
        <v>70</v>
      </c>
      <c r="E4" s="364"/>
      <c r="F4" s="364"/>
      <c r="G4" s="364"/>
      <c r="H4" s="364"/>
      <c r="I4" s="364"/>
      <c r="J4" s="18"/>
      <c r="K4" s="30"/>
      <c r="L4" s="18"/>
      <c r="M4" s="18"/>
      <c r="N4" s="20"/>
      <c r="O4" s="18"/>
      <c r="P4" s="18"/>
      <c r="Q4" s="18"/>
    </row>
    <row r="5" spans="1:17" ht="15" customHeight="1" x14ac:dyDescent="0.3">
      <c r="A5" s="18"/>
      <c r="B5" s="17"/>
      <c r="C5" s="66"/>
      <c r="D5" s="364"/>
      <c r="E5" s="364"/>
      <c r="F5" s="364"/>
      <c r="G5" s="364"/>
      <c r="H5" s="364"/>
      <c r="I5" s="364"/>
      <c r="J5" s="18"/>
      <c r="K5" s="30"/>
      <c r="L5" s="18"/>
      <c r="M5" s="18"/>
      <c r="N5" s="20"/>
      <c r="O5" s="18"/>
      <c r="P5" s="18"/>
      <c r="Q5" s="18"/>
    </row>
    <row r="6" spans="1:17" ht="15" customHeight="1" x14ac:dyDescent="0.3">
      <c r="A6" s="18"/>
      <c r="B6" s="17"/>
      <c r="C6" s="66"/>
      <c r="D6" s="364"/>
      <c r="E6" s="364"/>
      <c r="F6" s="364"/>
      <c r="G6" s="364"/>
      <c r="H6" s="364"/>
      <c r="I6" s="364"/>
      <c r="J6" s="18"/>
      <c r="K6" s="30"/>
      <c r="L6" s="18"/>
      <c r="M6" s="18"/>
      <c r="N6" s="20"/>
      <c r="O6" s="18"/>
      <c r="P6" s="18"/>
      <c r="Q6" s="18"/>
    </row>
    <row r="7" spans="1:17" ht="15" customHeight="1" x14ac:dyDescent="0.3">
      <c r="A7" s="18"/>
      <c r="B7" s="17"/>
      <c r="C7" s="66"/>
      <c r="D7" s="364"/>
      <c r="E7" s="364"/>
      <c r="F7" s="364"/>
      <c r="G7" s="364"/>
      <c r="H7" s="364"/>
      <c r="I7" s="364"/>
      <c r="J7" s="18"/>
      <c r="K7" s="30"/>
      <c r="L7" s="18"/>
      <c r="M7" s="18"/>
      <c r="N7" s="20"/>
      <c r="O7" s="18"/>
      <c r="P7" s="18"/>
      <c r="Q7" s="18"/>
    </row>
    <row r="8" spans="1:17" ht="27.75" customHeight="1" x14ac:dyDescent="0.4">
      <c r="A8" s="18"/>
      <c r="B8" s="17"/>
      <c r="C8" s="18"/>
      <c r="D8" s="394"/>
      <c r="E8" s="394"/>
      <c r="F8" s="394"/>
      <c r="G8" s="394"/>
      <c r="H8" s="394"/>
      <c r="I8" s="394"/>
      <c r="J8" s="18"/>
      <c r="K8" s="30"/>
      <c r="L8" s="31"/>
      <c r="M8" s="28"/>
      <c r="N8" s="21"/>
      <c r="O8" s="18"/>
      <c r="P8" s="18"/>
      <c r="Q8" s="18"/>
    </row>
    <row r="9" spans="1:17" ht="23.1" customHeight="1" x14ac:dyDescent="0.4">
      <c r="A9" s="18"/>
      <c r="B9" s="17"/>
      <c r="C9" s="389" t="s">
        <v>71</v>
      </c>
      <c r="D9" s="395"/>
      <c r="E9" s="374"/>
      <c r="F9" s="375"/>
      <c r="G9" s="375"/>
      <c r="H9" s="376"/>
      <c r="I9" s="18"/>
      <c r="J9" s="372" t="s">
        <v>5</v>
      </c>
      <c r="K9" s="373"/>
      <c r="L9" s="370"/>
      <c r="M9" s="371"/>
      <c r="N9" s="21"/>
      <c r="O9" s="18"/>
      <c r="P9" s="18"/>
      <c r="Q9" s="18"/>
    </row>
    <row r="10" spans="1:17" ht="23.1" customHeight="1" x14ac:dyDescent="0.3">
      <c r="A10" s="18"/>
      <c r="B10" s="17"/>
      <c r="C10" s="389" t="s">
        <v>72</v>
      </c>
      <c r="D10" s="390"/>
      <c r="E10" s="396"/>
      <c r="F10" s="397"/>
      <c r="G10" s="397"/>
      <c r="H10" s="398"/>
      <c r="I10" s="18"/>
      <c r="J10" s="388"/>
      <c r="K10" s="388"/>
      <c r="L10" s="18"/>
      <c r="M10" s="18"/>
      <c r="N10" s="20"/>
      <c r="O10" s="18"/>
      <c r="P10" s="18"/>
      <c r="Q10" s="18"/>
    </row>
    <row r="11" spans="1:17" ht="23.1" customHeight="1" x14ac:dyDescent="0.3">
      <c r="A11" s="18"/>
      <c r="B11" s="17"/>
      <c r="C11" s="389" t="s">
        <v>73</v>
      </c>
      <c r="D11" s="390"/>
      <c r="E11" s="406"/>
      <c r="F11" s="397"/>
      <c r="G11" s="397"/>
      <c r="H11" s="398"/>
      <c r="I11" s="391" t="s">
        <v>74</v>
      </c>
      <c r="J11" s="392"/>
      <c r="K11" s="392"/>
      <c r="L11" s="399" t="str">
        <f>'Cais newydd'!M36</f>
        <v/>
      </c>
      <c r="M11" s="399"/>
      <c r="N11" s="20"/>
      <c r="O11" s="18"/>
      <c r="P11" s="18"/>
      <c r="Q11" s="18"/>
    </row>
    <row r="12" spans="1:17" ht="23.1" customHeight="1" x14ac:dyDescent="0.3">
      <c r="A12" s="18"/>
      <c r="B12" s="17"/>
      <c r="C12" s="59"/>
      <c r="D12" s="59"/>
      <c r="E12" s="66"/>
      <c r="F12" s="66"/>
      <c r="G12" s="66"/>
      <c r="H12" s="66"/>
      <c r="I12" s="18"/>
      <c r="J12" s="18"/>
      <c r="K12" s="30"/>
      <c r="L12" s="18"/>
      <c r="M12" s="18"/>
      <c r="N12" s="20"/>
      <c r="O12" s="18"/>
      <c r="P12" s="18"/>
      <c r="Q12" s="18"/>
    </row>
    <row r="13" spans="1:17" ht="23.1" customHeight="1" x14ac:dyDescent="0.3">
      <c r="A13" s="18"/>
      <c r="B13" s="17"/>
      <c r="C13" s="400" t="str">
        <f>"Bandiau sylfaenol ar gyfer ceisiadau newydd "&amp;RIGHT(C3,7)</f>
        <v>Bandiau sylfaenol ar gyfer ceisiadau newydd 2024-25</v>
      </c>
      <c r="D13" s="401"/>
      <c r="E13" s="401"/>
      <c r="F13" s="401"/>
      <c r="G13" s="66"/>
      <c r="H13" s="66"/>
      <c r="I13" s="18"/>
      <c r="J13" s="402" t="s">
        <v>75</v>
      </c>
      <c r="K13" s="403"/>
      <c r="L13" s="18"/>
      <c r="M13" s="44" t="str">
        <f>'Cais newydd'!M37</f>
        <v/>
      </c>
      <c r="N13" s="20"/>
      <c r="O13" s="18"/>
      <c r="P13" s="18"/>
      <c r="Q13" s="18"/>
    </row>
    <row r="14" spans="1:17" ht="23.1" customHeight="1" x14ac:dyDescent="0.3">
      <c r="A14" s="18"/>
      <c r="B14" s="17"/>
      <c r="C14" s="57"/>
      <c r="D14" s="57"/>
      <c r="E14" s="57"/>
      <c r="F14" s="57"/>
      <c r="G14" s="66"/>
      <c r="H14" s="66"/>
      <c r="I14" s="18"/>
      <c r="J14" s="402" t="s">
        <v>76</v>
      </c>
      <c r="K14" s="403"/>
      <c r="L14" s="18"/>
      <c r="M14" s="44">
        <f>'Cais newydd'!M45</f>
        <v>0</v>
      </c>
      <c r="N14" s="20"/>
      <c r="O14" s="18"/>
      <c r="P14" s="18"/>
      <c r="Q14" s="18"/>
    </row>
    <row r="15" spans="1:17" ht="23.1" customHeight="1" x14ac:dyDescent="0.3">
      <c r="A15" s="18"/>
      <c r="B15" s="17"/>
      <c r="C15" s="273" t="s">
        <v>37</v>
      </c>
      <c r="D15" s="273" t="s">
        <v>39</v>
      </c>
      <c r="E15" s="274" t="s">
        <v>43</v>
      </c>
      <c r="F15" s="273" t="s">
        <v>77</v>
      </c>
      <c r="G15" s="18"/>
      <c r="H15" s="23"/>
      <c r="I15" s="23"/>
      <c r="J15" s="402" t="s">
        <v>78</v>
      </c>
      <c r="K15" s="403"/>
      <c r="L15" s="23"/>
      <c r="M15" s="44">
        <f>'Cais newydd'!M59</f>
        <v>0</v>
      </c>
      <c r="N15" s="20"/>
      <c r="O15" s="18"/>
      <c r="P15" s="18"/>
      <c r="Q15" s="18"/>
    </row>
    <row r="16" spans="1:17" ht="29.25" customHeight="1" thickBot="1" x14ac:dyDescent="0.35">
      <c r="A16" s="18"/>
      <c r="B16" s="17"/>
      <c r="C16" s="60">
        <f>'Cais newydd'!N33</f>
        <v>13609</v>
      </c>
      <c r="D16" s="60">
        <f>'Cais newydd'!O33</f>
        <v>20470</v>
      </c>
      <c r="E16" s="61">
        <f>'Cais newydd'!P33</f>
        <v>32718</v>
      </c>
      <c r="F16" s="60">
        <f>'Cais newydd'!Q33</f>
        <v>44850</v>
      </c>
      <c r="G16" s="18"/>
      <c r="H16" s="23"/>
      <c r="I16" s="23"/>
      <c r="J16" s="404" t="s">
        <v>79</v>
      </c>
      <c r="K16" s="405"/>
      <c r="L16" s="185"/>
      <c r="M16" s="186" t="str">
        <f>'Cais newydd'!M64</f>
        <v/>
      </c>
      <c r="N16" s="20"/>
      <c r="O16" s="18"/>
      <c r="P16" s="18"/>
      <c r="Q16" s="18"/>
    </row>
    <row r="17" spans="1:25" x14ac:dyDescent="0.3">
      <c r="A17" s="18"/>
      <c r="B17" s="17"/>
      <c r="C17" s="58"/>
      <c r="D17" s="58"/>
      <c r="E17" s="62"/>
      <c r="F17" s="58"/>
      <c r="G17" s="18"/>
      <c r="H17" s="23"/>
      <c r="I17" s="23"/>
      <c r="J17" s="349" t="s">
        <v>80</v>
      </c>
      <c r="K17" s="30"/>
      <c r="L17" s="23"/>
      <c r="M17" s="63">
        <f>'Cais newydd'!M66</f>
        <v>0</v>
      </c>
      <c r="N17" s="20"/>
      <c r="O17" s="18"/>
      <c r="P17" s="18"/>
      <c r="Q17" s="18"/>
    </row>
    <row r="18" spans="1:25" ht="19.5" customHeight="1" x14ac:dyDescent="0.3">
      <c r="A18" s="18"/>
      <c r="B18" s="17"/>
      <c r="C18" s="18"/>
      <c r="D18" s="18"/>
      <c r="E18" s="18"/>
      <c r="F18" s="18"/>
      <c r="G18" s="18"/>
      <c r="H18" s="18"/>
      <c r="I18" s="32"/>
      <c r="J18" s="32"/>
      <c r="K18" s="32"/>
      <c r="L18" s="32"/>
      <c r="M18" s="32"/>
      <c r="N18" s="20"/>
      <c r="O18" s="18"/>
      <c r="P18" s="18"/>
      <c r="Q18" s="18"/>
    </row>
    <row r="19" spans="1:25" ht="15" customHeight="1" x14ac:dyDescent="0.3">
      <c r="A19" s="18"/>
      <c r="B19" s="17"/>
      <c r="C19" s="377" t="s">
        <v>81</v>
      </c>
      <c r="D19" s="378"/>
      <c r="E19" s="378"/>
      <c r="F19" s="378"/>
      <c r="G19" s="378"/>
      <c r="H19" s="378"/>
      <c r="I19" s="378"/>
      <c r="J19" s="378"/>
      <c r="K19" s="379"/>
      <c r="L19" s="32"/>
      <c r="M19" s="32"/>
      <c r="N19" s="20"/>
      <c r="O19" s="18"/>
      <c r="P19" s="18"/>
      <c r="Q19" s="18"/>
    </row>
    <row r="20" spans="1:25" ht="15" customHeight="1" x14ac:dyDescent="0.3">
      <c r="A20" s="18"/>
      <c r="B20" s="17"/>
      <c r="C20" s="380"/>
      <c r="D20" s="381"/>
      <c r="E20" s="381"/>
      <c r="F20" s="381"/>
      <c r="G20" s="381"/>
      <c r="H20" s="381"/>
      <c r="I20" s="381"/>
      <c r="J20" s="381"/>
      <c r="K20" s="382"/>
      <c r="L20" s="32"/>
      <c r="M20" s="32"/>
      <c r="N20" s="20"/>
      <c r="O20" s="18"/>
      <c r="P20" s="18"/>
      <c r="Q20" s="18"/>
    </row>
    <row r="21" spans="1:25" x14ac:dyDescent="0.3">
      <c r="A21" s="18"/>
      <c r="B21" s="17"/>
      <c r="C21" s="383"/>
      <c r="D21" s="384"/>
      <c r="E21" s="384"/>
      <c r="F21" s="384"/>
      <c r="G21" s="384"/>
      <c r="H21" s="384"/>
      <c r="I21" s="384"/>
      <c r="J21" s="384"/>
      <c r="K21" s="385"/>
      <c r="L21" s="67"/>
      <c r="M21" s="67"/>
      <c r="N21" s="20"/>
      <c r="O21" s="18"/>
      <c r="P21" s="18"/>
      <c r="Q21" s="18"/>
    </row>
    <row r="22" spans="1:25" ht="46.5" customHeight="1" x14ac:dyDescent="0.3">
      <c r="A22" s="18"/>
      <c r="B22" s="17"/>
      <c r="C22" s="386" t="s">
        <v>82</v>
      </c>
      <c r="D22" s="387"/>
      <c r="E22" s="275" t="s">
        <v>83</v>
      </c>
      <c r="F22" s="276" t="s">
        <v>84</v>
      </c>
      <c r="G22" s="277" t="s">
        <v>85</v>
      </c>
      <c r="H22" s="278" t="s">
        <v>86</v>
      </c>
      <c r="I22" s="279" t="s">
        <v>87</v>
      </c>
      <c r="J22" s="280" t="s">
        <v>88</v>
      </c>
      <c r="K22" s="281" t="s">
        <v>89</v>
      </c>
      <c r="L22" s="67"/>
      <c r="M22" s="33"/>
      <c r="N22" s="20"/>
      <c r="O22" s="18"/>
      <c r="P22" s="18"/>
      <c r="Q22" s="18"/>
      <c r="R22" s="34"/>
      <c r="U22" s="393"/>
      <c r="V22" s="393"/>
      <c r="W22" s="393"/>
      <c r="X22" s="393"/>
      <c r="Y22" s="393"/>
    </row>
    <row r="23" spans="1:25" x14ac:dyDescent="0.3">
      <c r="A23" s="18"/>
      <c r="B23" s="17"/>
      <c r="C23" s="18"/>
      <c r="D23" s="18"/>
      <c r="E23" s="18"/>
      <c r="F23" s="18"/>
      <c r="G23" s="18"/>
      <c r="H23" s="18"/>
      <c r="I23" s="29"/>
      <c r="J23" s="29"/>
      <c r="K23" s="29"/>
      <c r="L23" s="29"/>
      <c r="M23" s="29"/>
      <c r="N23" s="20"/>
      <c r="O23" s="18"/>
      <c r="P23" s="18"/>
      <c r="Q23" s="18"/>
      <c r="U23" s="393"/>
      <c r="V23" s="393"/>
      <c r="W23" s="393"/>
      <c r="X23" s="393"/>
      <c r="Y23" s="393"/>
    </row>
    <row r="24" spans="1:25" ht="31.5" customHeight="1" x14ac:dyDescent="0.3">
      <c r="A24" s="18"/>
      <c r="B24" s="17"/>
      <c r="C24" s="18"/>
      <c r="D24" s="18"/>
      <c r="E24" s="18"/>
      <c r="F24" s="18"/>
      <c r="G24" s="18"/>
      <c r="H24" s="18"/>
      <c r="I24" s="23"/>
      <c r="J24" s="18"/>
      <c r="K24" s="30"/>
      <c r="L24" s="18"/>
      <c r="M24" s="18"/>
      <c r="N24" s="20"/>
      <c r="O24" s="18"/>
      <c r="P24" s="18"/>
      <c r="Q24" s="18"/>
    </row>
    <row r="25" spans="1:25" ht="45.75" customHeight="1" x14ac:dyDescent="0.3">
      <c r="A25" s="18"/>
      <c r="B25" s="17"/>
      <c r="C25" s="365" t="s">
        <v>90</v>
      </c>
      <c r="D25" s="366"/>
      <c r="E25" s="366"/>
      <c r="F25" s="366"/>
      <c r="G25" s="98"/>
      <c r="H25" s="18"/>
      <c r="I25" s="18"/>
      <c r="J25" s="18"/>
      <c r="K25" s="30"/>
      <c r="L25" s="18"/>
      <c r="M25" s="18"/>
      <c r="N25" s="20"/>
      <c r="O25" s="18"/>
      <c r="P25" s="18"/>
      <c r="Q25" s="18"/>
      <c r="R25" s="35"/>
      <c r="S25" s="35"/>
      <c r="T25" s="35"/>
      <c r="U25" s="35"/>
    </row>
    <row r="26" spans="1:25" ht="37.5" customHeight="1" x14ac:dyDescent="0.3">
      <c r="A26" s="18"/>
      <c r="B26" s="17"/>
      <c r="C26" s="367"/>
      <c r="D26" s="368"/>
      <c r="E26" s="368"/>
      <c r="F26" s="368"/>
      <c r="G26" s="282" t="s">
        <v>91</v>
      </c>
      <c r="H26" s="18"/>
      <c r="I26" s="369" t="str">
        <f>IF(G25="yes","Please include all the listed activities currently in your permit in the next tab","")</f>
        <v/>
      </c>
      <c r="J26" s="369"/>
      <c r="K26" s="369"/>
      <c r="L26" s="369"/>
      <c r="M26" s="369"/>
      <c r="N26" s="20"/>
      <c r="O26" s="18"/>
      <c r="P26" s="18"/>
      <c r="Q26" s="18"/>
      <c r="U26" s="393"/>
      <c r="V26" s="393"/>
      <c r="W26" s="393"/>
      <c r="X26" s="393"/>
      <c r="Y26" s="393"/>
    </row>
    <row r="27" spans="1:25" ht="15" customHeight="1" x14ac:dyDescent="0.3">
      <c r="A27" s="18"/>
      <c r="B27" s="22"/>
      <c r="C27" s="18"/>
      <c r="D27" s="18"/>
      <c r="E27" s="18"/>
      <c r="F27" s="18"/>
      <c r="G27" s="18"/>
      <c r="H27" s="23"/>
      <c r="I27" s="18"/>
      <c r="J27" s="18"/>
      <c r="K27" s="30"/>
      <c r="L27" s="18"/>
      <c r="M27" s="18"/>
      <c r="N27" s="20"/>
      <c r="O27" s="18"/>
      <c r="P27" s="18"/>
      <c r="Q27" s="18"/>
    </row>
    <row r="28" spans="1:25" ht="27.75" customHeight="1" thickBot="1" x14ac:dyDescent="0.35">
      <c r="A28" s="18"/>
      <c r="B28" s="24"/>
      <c r="C28" s="25"/>
      <c r="D28" s="25"/>
      <c r="E28" s="25"/>
      <c r="F28" s="25"/>
      <c r="G28" s="25"/>
      <c r="H28" s="25"/>
      <c r="I28" s="25"/>
      <c r="J28" s="25"/>
      <c r="K28" s="26"/>
      <c r="L28" s="25"/>
      <c r="M28" s="25"/>
      <c r="N28" s="27"/>
      <c r="O28" s="18"/>
      <c r="P28" s="18"/>
      <c r="Q28" s="18"/>
    </row>
    <row r="29" spans="1:25" x14ac:dyDescent="0.3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30"/>
      <c r="L29" s="18"/>
      <c r="M29" s="18"/>
      <c r="N29" s="18"/>
      <c r="O29" s="18"/>
      <c r="P29" s="18"/>
      <c r="Q29" s="18"/>
    </row>
    <row r="30" spans="1:25" x14ac:dyDescent="0.3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30"/>
      <c r="L30" s="18"/>
      <c r="M30" s="18"/>
      <c r="N30" s="18"/>
      <c r="O30" s="18"/>
      <c r="P30" s="18"/>
      <c r="Q30" s="18"/>
    </row>
    <row r="31" spans="1:25" x14ac:dyDescent="0.3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30"/>
      <c r="L31" s="18"/>
      <c r="M31" s="18"/>
      <c r="N31" s="18"/>
      <c r="O31" s="18"/>
      <c r="P31" s="18"/>
      <c r="Q31" s="18"/>
    </row>
    <row r="32" spans="1:25" x14ac:dyDescent="0.3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30"/>
      <c r="L32" s="18"/>
      <c r="M32" s="18"/>
      <c r="N32" s="18"/>
      <c r="O32" s="18"/>
      <c r="P32" s="18"/>
      <c r="Q32" s="18"/>
    </row>
    <row r="33" spans="1:17" x14ac:dyDescent="0.3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30"/>
      <c r="L33" s="18"/>
      <c r="M33" s="18"/>
      <c r="N33" s="18"/>
      <c r="O33" s="18"/>
      <c r="P33" s="18"/>
      <c r="Q33" s="18"/>
    </row>
    <row r="34" spans="1:17" x14ac:dyDescent="0.3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30"/>
      <c r="L34" s="18"/>
      <c r="M34" s="18"/>
      <c r="N34" s="18"/>
      <c r="O34" s="18"/>
      <c r="P34" s="18"/>
      <c r="Q34" s="18"/>
    </row>
  </sheetData>
  <sheetProtection algorithmName="SHA-512" hashValue="/9rrOuISXzl2LQRBtiPTlP/4rGiRnsyDFeYX+lWDQZ0XgXxOlsHgZoIOiEZpR0noNps+M4DOTNKI6A/gRLGCFw==" saltValue="DI/QKKpG0RwnW5hE9JDxWg==" spinCount="100000" sheet="1" objects="1" scenarios="1"/>
  <mergeCells count="24">
    <mergeCell ref="U26:Y26"/>
    <mergeCell ref="U22:Y23"/>
    <mergeCell ref="D8:I8"/>
    <mergeCell ref="C9:D9"/>
    <mergeCell ref="E10:H10"/>
    <mergeCell ref="L11:M11"/>
    <mergeCell ref="C13:F13"/>
    <mergeCell ref="J13:K13"/>
    <mergeCell ref="J14:K14"/>
    <mergeCell ref="J15:K15"/>
    <mergeCell ref="J16:K16"/>
    <mergeCell ref="C11:D11"/>
    <mergeCell ref="E11:H11"/>
    <mergeCell ref="D4:I7"/>
    <mergeCell ref="C25:F26"/>
    <mergeCell ref="I26:M26"/>
    <mergeCell ref="L9:M9"/>
    <mergeCell ref="J9:K9"/>
    <mergeCell ref="E9:H9"/>
    <mergeCell ref="C19:K21"/>
    <mergeCell ref="C22:D22"/>
    <mergeCell ref="J10:K10"/>
    <mergeCell ref="C10:D10"/>
    <mergeCell ref="I11:K11"/>
  </mergeCells>
  <conditionalFormatting sqref="G25">
    <cfRule type="cellIs" dxfId="34" priority="6" operator="equal">
      <formula>"No"</formula>
    </cfRule>
    <cfRule type="cellIs" dxfId="33" priority="7" operator="equal">
      <formula>"Yes"</formula>
    </cfRule>
  </conditionalFormatting>
  <conditionalFormatting sqref="I26:M26">
    <cfRule type="containsText" dxfId="32" priority="1" operator="containsText" text="Please">
      <formula>NOT(ISERROR(SEARCH("Please",I26)))</formula>
    </cfRule>
  </conditionalFormatting>
  <hyperlinks>
    <hyperlink ref="G26" r:id="rId1" xr:uid="{00000000-0004-0000-0100-000000000000}"/>
  </hyperlinks>
  <pageMargins left="0.7" right="0.7" top="0.75" bottom="0.75" header="0.3" footer="0.3"/>
  <pageSetup paperSize="9" orientation="portrait" horizontalDpi="203" verticalDpi="203" r:id="rId2"/>
  <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Picklists!$B$3:$B$4</xm:f>
          </x14:formula1>
          <xm:sqref>G25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180CF-7E6A-44C9-A344-23262F880F33}">
  <sheetPr>
    <tabColor theme="5" tint="0.39997558519241921"/>
  </sheetPr>
  <dimension ref="A1:W42"/>
  <sheetViews>
    <sheetView workbookViewId="0">
      <selection activeCell="C1" sqref="C1"/>
    </sheetView>
  </sheetViews>
  <sheetFormatPr defaultRowHeight="14.4" x14ac:dyDescent="0.3"/>
  <cols>
    <col min="1" max="1" width="9.109375" customWidth="1"/>
    <col min="2" max="2" width="7.109375" customWidth="1"/>
    <col min="3" max="3" width="17.88671875" customWidth="1"/>
    <col min="4" max="4" width="46.44140625" customWidth="1"/>
    <col min="5" max="5" width="38.109375" customWidth="1"/>
    <col min="6" max="6" width="16.44140625" customWidth="1"/>
    <col min="7" max="8" width="17.109375" style="3" customWidth="1"/>
    <col min="9" max="9" width="21.44140625" style="3" hidden="1" customWidth="1"/>
    <col min="10" max="10" width="9.109375" customWidth="1"/>
    <col min="11" max="11" width="16.33203125" customWidth="1"/>
    <col min="12" max="12" width="9.109375" hidden="1" customWidth="1"/>
    <col min="13" max="13" width="14.6640625" hidden="1" customWidth="1"/>
    <col min="14" max="14" width="23.5546875" customWidth="1"/>
    <col min="15" max="15" width="11.5546875" customWidth="1"/>
    <col min="16" max="18" width="16.5546875" hidden="1" customWidth="1"/>
    <col min="19" max="19" width="14.6640625" hidden="1" customWidth="1"/>
    <col min="20" max="20" width="9.33203125" hidden="1" customWidth="1"/>
    <col min="21" max="22" width="9.109375" hidden="1" customWidth="1"/>
    <col min="23" max="23" width="8.6640625" hidden="1" customWidth="1"/>
  </cols>
  <sheetData>
    <row r="1" spans="1:23" ht="15" thickBot="1" x14ac:dyDescent="0.35">
      <c r="A1" s="18"/>
      <c r="B1" s="18"/>
      <c r="C1" s="18"/>
      <c r="D1" s="18"/>
      <c r="E1" s="18"/>
      <c r="F1" s="18"/>
      <c r="G1" s="66"/>
      <c r="H1" s="66"/>
      <c r="I1" s="66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</row>
    <row r="2" spans="1:23" ht="21.75" customHeight="1" thickBot="1" x14ac:dyDescent="0.35">
      <c r="A2" s="18"/>
      <c r="B2" s="246" t="s">
        <v>0</v>
      </c>
      <c r="C2" s="247" t="str">
        <f>'Cais newydd'!C2</f>
        <v>SRoC CNC f2 2024-25</v>
      </c>
      <c r="D2" s="227"/>
      <c r="E2" s="228"/>
      <c r="F2" s="18"/>
      <c r="G2" s="66"/>
      <c r="H2" s="66"/>
      <c r="I2" s="66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</row>
    <row r="3" spans="1:23" ht="39" customHeight="1" thickBot="1" x14ac:dyDescent="0.35">
      <c r="A3" s="18"/>
      <c r="B3" s="410" t="s">
        <v>92</v>
      </c>
      <c r="C3" s="411"/>
      <c r="D3" s="411"/>
      <c r="E3" s="411"/>
      <c r="F3" s="411"/>
      <c r="G3" s="411"/>
      <c r="H3" s="411"/>
      <c r="I3" s="411"/>
      <c r="J3" s="411"/>
      <c r="K3" s="411"/>
      <c r="L3" s="411"/>
      <c r="M3" s="411"/>
      <c r="N3" s="411"/>
      <c r="O3" s="412"/>
      <c r="P3" s="72"/>
      <c r="Q3" s="73"/>
      <c r="R3" s="73"/>
      <c r="S3" s="73"/>
      <c r="T3" s="73"/>
      <c r="U3" s="73"/>
      <c r="V3" s="73"/>
    </row>
    <row r="4" spans="1:23" ht="33" customHeight="1" thickBot="1" x14ac:dyDescent="0.35">
      <c r="A4" s="18"/>
      <c r="B4" s="407" t="s">
        <v>93</v>
      </c>
      <c r="C4" s="408"/>
      <c r="D4" s="408"/>
      <c r="E4" s="408"/>
      <c r="F4" s="408"/>
      <c r="G4" s="408"/>
      <c r="H4" s="408"/>
      <c r="I4" s="408"/>
      <c r="J4" s="408"/>
      <c r="K4" s="408"/>
      <c r="L4" s="408"/>
      <c r="M4" s="408"/>
      <c r="N4" s="408"/>
      <c r="O4" s="409"/>
      <c r="P4" s="74"/>
      <c r="Q4" s="75"/>
      <c r="R4" s="75"/>
      <c r="S4" s="75"/>
      <c r="T4" s="76"/>
      <c r="U4" s="76"/>
      <c r="V4" s="77"/>
    </row>
    <row r="5" spans="1:23" ht="15" customHeight="1" x14ac:dyDescent="0.3">
      <c r="A5" s="18"/>
      <c r="B5" s="43"/>
      <c r="C5" s="15"/>
      <c r="D5" s="15"/>
      <c r="E5" s="15"/>
      <c r="F5" s="18"/>
      <c r="G5" s="78"/>
      <c r="H5" s="66"/>
      <c r="I5" s="242"/>
      <c r="J5" s="15"/>
      <c r="K5" s="15"/>
      <c r="L5" s="241"/>
      <c r="M5" s="211"/>
      <c r="N5" s="18"/>
      <c r="O5" s="20"/>
      <c r="P5" s="239"/>
      <c r="Q5" s="239"/>
      <c r="R5" s="240"/>
      <c r="S5" s="211"/>
      <c r="T5" s="18"/>
      <c r="U5" s="18"/>
      <c r="V5" s="18"/>
    </row>
    <row r="6" spans="1:23" ht="18.600000000000001" customHeight="1" x14ac:dyDescent="0.3">
      <c r="A6" s="18"/>
      <c r="B6" s="17"/>
      <c r="C6" s="249" t="s">
        <v>94</v>
      </c>
      <c r="D6" s="81">
        <f>+Cyflwyniad!E9</f>
        <v>0</v>
      </c>
      <c r="E6" s="18"/>
      <c r="F6" s="416"/>
      <c r="G6" s="82"/>
      <c r="H6" s="416"/>
      <c r="I6" s="239"/>
      <c r="J6" s="18"/>
      <c r="K6" s="18"/>
      <c r="L6" s="211"/>
      <c r="M6" s="238"/>
      <c r="N6" s="80"/>
      <c r="O6" s="20"/>
      <c r="P6" s="239"/>
      <c r="Q6" s="239"/>
      <c r="R6" s="240"/>
      <c r="S6" s="211"/>
      <c r="T6" s="18"/>
      <c r="U6" s="18"/>
      <c r="V6" s="18"/>
    </row>
    <row r="7" spans="1:23" ht="19.5" customHeight="1" x14ac:dyDescent="0.3">
      <c r="A7" s="18"/>
      <c r="B7" s="17"/>
      <c r="C7" s="249" t="s">
        <v>95</v>
      </c>
      <c r="D7" s="81">
        <f>+Cyflwyniad!L9</f>
        <v>0</v>
      </c>
      <c r="E7" s="18"/>
      <c r="F7" s="416"/>
      <c r="G7" s="66"/>
      <c r="H7" s="416"/>
      <c r="I7" s="239"/>
      <c r="J7" s="18"/>
      <c r="K7" s="18"/>
      <c r="L7" s="211"/>
      <c r="M7" s="238"/>
      <c r="N7" s="418"/>
      <c r="O7" s="20"/>
      <c r="P7" s="79"/>
      <c r="Q7" s="79"/>
      <c r="R7" s="80"/>
      <c r="S7" s="18"/>
      <c r="T7" s="18"/>
      <c r="U7" s="18"/>
      <c r="V7" s="18"/>
    </row>
    <row r="8" spans="1:23" ht="20.399999999999999" customHeight="1" x14ac:dyDescent="0.3">
      <c r="A8" s="18"/>
      <c r="B8" s="17"/>
      <c r="C8" s="18"/>
      <c r="D8" s="18"/>
      <c r="E8" s="18"/>
      <c r="F8" s="417"/>
      <c r="G8" s="18"/>
      <c r="H8" s="417"/>
      <c r="I8" s="239"/>
      <c r="J8" s="18"/>
      <c r="K8" s="18"/>
      <c r="L8" s="211"/>
      <c r="M8" s="238"/>
      <c r="N8" s="419"/>
      <c r="O8" s="20"/>
      <c r="P8" s="49" t="str">
        <f>IF(OR(P10="incomplete",P11="incomplete",P12="incomplete",P13="incomplete",P14="incomplete",P15="incomplete",P16="incomplete",P17="incomplete",P18="incomplete",P19="incomplete",P20="incomplete",P21="incomplete",P22="incomplete",P23="incomplete",P24="incomplete",P25="incomplete",P26="incomplete",P27="incomplete",P28="incomplete",P29="incomplete",P30="incomplete",P31="incomplete",P32="incomplete",P33="incomplete",P34="incomplete"),"incomplete","complete")</f>
        <v>complete</v>
      </c>
      <c r="Q8" s="79"/>
      <c r="R8" s="49" t="str">
        <f>IF(OR(R10="incomplete",R11="incomplete",R12="incomplete",R13="incomplete",R14="incomplete",R15="incomplete",R16="incomplete",R17="incomplete",R18="incomplete",R19="incomplete",R20="incomplete",R21="incomplete",R22="incomplete",R23="incomplete",R24="incomplete",R25="incomplete",R26="incomplete",R27="incomplete",R28="incomplete",R29="incomplete",R30="incomplete",R31="incomplete",R32="incomplete",R33="incomplete",R34="incomplete"),"incomplete","complete")</f>
        <v>complete</v>
      </c>
      <c r="S8" s="18"/>
      <c r="T8" s="18"/>
      <c r="U8" s="18"/>
      <c r="V8" s="18"/>
    </row>
    <row r="9" spans="1:23" ht="45" customHeight="1" x14ac:dyDescent="0.3">
      <c r="A9" s="18"/>
      <c r="B9" s="17"/>
      <c r="C9" s="83"/>
      <c r="D9" s="243" t="s">
        <v>96</v>
      </c>
      <c r="E9" s="283" t="s">
        <v>97</v>
      </c>
      <c r="F9" s="283" t="s">
        <v>98</v>
      </c>
      <c r="G9" s="283" t="s">
        <v>99</v>
      </c>
      <c r="H9" s="283" t="s">
        <v>100</v>
      </c>
      <c r="I9" s="84"/>
      <c r="J9" s="284" t="s">
        <v>101</v>
      </c>
      <c r="K9" s="285" t="s">
        <v>102</v>
      </c>
      <c r="L9" s="86"/>
      <c r="M9" s="286" t="s">
        <v>103</v>
      </c>
      <c r="N9" s="285" t="s">
        <v>104</v>
      </c>
      <c r="O9" s="20"/>
      <c r="P9" s="287" t="s">
        <v>105</v>
      </c>
      <c r="Q9" s="288" t="s">
        <v>106</v>
      </c>
      <c r="R9" s="288" t="s">
        <v>107</v>
      </c>
      <c r="S9" s="289" t="s">
        <v>108</v>
      </c>
      <c r="T9" s="87"/>
      <c r="U9" s="18"/>
      <c r="V9" s="18"/>
    </row>
    <row r="10" spans="1:23" ht="20.100000000000001" customHeight="1" x14ac:dyDescent="0.3">
      <c r="A10" s="18"/>
      <c r="B10" s="88"/>
      <c r="C10" s="89">
        <v>1</v>
      </c>
      <c r="D10" s="68"/>
      <c r="E10" s="99"/>
      <c r="F10" s="99"/>
      <c r="G10" s="90" t="str">
        <f>IFERROR(VLOOKUP(E10,Picklists!$D$3:$H$105,3,FALSE),"")</f>
        <v/>
      </c>
      <c r="H10" s="70"/>
      <c r="I10" s="90" t="str">
        <f>IF(AND(F10="Ie",H10&lt;&gt;""),H10,"")</f>
        <v/>
      </c>
      <c r="J10" s="90" t="str">
        <f>IFERROR(VLOOKUP(E10,Picklists!$D$3:$I$107,4,FALSE),"")</f>
        <v/>
      </c>
      <c r="K10" s="90" t="str">
        <f>IFERROR(VLOOKUP(E10,Picklists!$D$3:$I$107,5,FALSE),"")</f>
        <v/>
      </c>
      <c r="L10" s="90" t="str">
        <f>IF(K10=0,"",K10)</f>
        <v/>
      </c>
      <c r="M10" s="90" t="str">
        <f>IFERROR(VLOOKUP(E10,Picklists!$D$3:$I$107,6,FALSE),"")</f>
        <v/>
      </c>
      <c r="N10" s="90" t="str">
        <f>IF(W10=1,"Ie",IF(AND(F10="Ie",M10="Ie"),"Ie",""))</f>
        <v/>
      </c>
      <c r="O10" s="20" t="str">
        <f t="shared" ref="O10:O11" si="0">IF(W10=1,"Landfills always require TCM","")</f>
        <v/>
      </c>
      <c r="P10" s="91" t="str">
        <f t="shared" ref="P10:P34" si="1">IF(AND(D10="",E10&gt;0),"incomplete","")</f>
        <v/>
      </c>
      <c r="Q10" s="91" t="str">
        <f t="shared" ref="Q10:Q34" si="2">IF(AND(E10&gt;0,F10=""),"incomplete","")</f>
        <v/>
      </c>
      <c r="R10" s="18" t="str">
        <f>IFERROR(IF(F10="","complete",IF(AND(F10="Ie",H10&gt;0),"complete",IF(AND(F10="Na",H10&gt;0),"complete","Incomplete"))),"")</f>
        <v>complete</v>
      </c>
      <c r="S10" s="92" t="str">
        <f>IFERROR(+I10/G10,"")</f>
        <v/>
      </c>
      <c r="T10" s="93"/>
      <c r="U10" s="18"/>
      <c r="V10" s="18"/>
      <c r="W10">
        <f t="shared" ref="W10:W34" si="3">COUNTIF(E10,"5.2*")</f>
        <v>0</v>
      </c>
    </row>
    <row r="11" spans="1:23" ht="20.100000000000001" customHeight="1" x14ac:dyDescent="0.3">
      <c r="A11" s="18"/>
      <c r="B11" s="88"/>
      <c r="C11" s="89">
        <v>2</v>
      </c>
      <c r="D11" s="68"/>
      <c r="E11" s="100"/>
      <c r="F11" s="99"/>
      <c r="G11" s="90" t="str">
        <f>IFERROR(VLOOKUP(E11,Picklists!$D$3:$H$105,3,FALSE),"")</f>
        <v/>
      </c>
      <c r="H11" s="70"/>
      <c r="I11" s="90" t="str">
        <f t="shared" ref="I11:I34" si="4">IF(AND(F11="Ie",H11&lt;&gt;""),H11,"")</f>
        <v/>
      </c>
      <c r="J11" s="90" t="str">
        <f>IFERROR(VLOOKUP(E11,Picklists!$D$3:$I$107,4,FALSE),"")</f>
        <v/>
      </c>
      <c r="K11" s="90" t="str">
        <f>IFERROR(VLOOKUP(E11,Picklists!$D$3:$I$107,5,FALSE),"")</f>
        <v/>
      </c>
      <c r="L11" s="90" t="str">
        <f t="shared" ref="L11:L34" si="5">IF(K11=0,"",K11)</f>
        <v/>
      </c>
      <c r="M11" s="90" t="str">
        <f>IFERROR(VLOOKUP(E11,Picklists!$D$3:$I$107,6,FALSE),"")</f>
        <v/>
      </c>
      <c r="N11" s="90" t="str">
        <f>IF(W11=1,"Ie",IF(AND(F11="Ie",M11="Ie"),"Ie",""))</f>
        <v/>
      </c>
      <c r="O11" s="20" t="str">
        <f t="shared" si="0"/>
        <v/>
      </c>
      <c r="P11" s="91" t="str">
        <f t="shared" si="1"/>
        <v/>
      </c>
      <c r="Q11" s="91" t="str">
        <f t="shared" si="2"/>
        <v/>
      </c>
      <c r="R11" s="18" t="str">
        <f t="shared" ref="R11:R34" si="6">IFERROR(IF(F11="","complete",IF(AND(F11="Ie",H11&gt;0),"complete",IF(AND(F11="Na",H11&gt;0),"complete","Incomplete"))),"")</f>
        <v>complete</v>
      </c>
      <c r="S11" s="92" t="str">
        <f t="shared" ref="S11:S34" si="7">IFERROR(+I11/G11,"")</f>
        <v/>
      </c>
      <c r="T11" s="93"/>
      <c r="U11" s="18"/>
      <c r="V11" s="18"/>
      <c r="W11">
        <f t="shared" si="3"/>
        <v>0</v>
      </c>
    </row>
    <row r="12" spans="1:23" ht="20.100000000000001" customHeight="1" x14ac:dyDescent="0.3">
      <c r="A12" s="18"/>
      <c r="B12" s="88"/>
      <c r="C12" s="89">
        <v>3</v>
      </c>
      <c r="D12" s="68"/>
      <c r="E12" s="100"/>
      <c r="F12" s="99"/>
      <c r="G12" s="90" t="str">
        <f>IFERROR(VLOOKUP(E12,Picklists!$D$3:$H$105,3,FALSE),"")</f>
        <v/>
      </c>
      <c r="H12" s="70"/>
      <c r="I12" s="90" t="str">
        <f t="shared" si="4"/>
        <v/>
      </c>
      <c r="J12" s="90" t="str">
        <f>IFERROR(VLOOKUP(E12,Picklists!$D$3:$I$107,4,FALSE),"")</f>
        <v/>
      </c>
      <c r="K12" s="90" t="str">
        <f>IFERROR(VLOOKUP(E12,Picklists!$D$3:$I$107,5,FALSE),"")</f>
        <v/>
      </c>
      <c r="L12" s="90" t="str">
        <f t="shared" si="5"/>
        <v/>
      </c>
      <c r="M12" s="90" t="str">
        <f>IFERROR(VLOOKUP(E12,Picklists!$D$3:$I$107,6,FALSE),"")</f>
        <v/>
      </c>
      <c r="N12" s="90" t="str">
        <f t="shared" ref="N12:N34" si="8">IF(W12=1,"Ie",IF(AND(F12="Ie",M12="Ie"),"Ie",""))</f>
        <v/>
      </c>
      <c r="O12" s="20" t="str">
        <f>IF(W12=1,"Landfills always require TCM","")</f>
        <v/>
      </c>
      <c r="P12" s="91" t="str">
        <f t="shared" si="1"/>
        <v/>
      </c>
      <c r="Q12" s="91" t="str">
        <f t="shared" si="2"/>
        <v/>
      </c>
      <c r="R12" s="18" t="str">
        <f t="shared" si="6"/>
        <v>complete</v>
      </c>
      <c r="S12" s="92" t="str">
        <f t="shared" si="7"/>
        <v/>
      </c>
      <c r="T12" s="93"/>
      <c r="U12" s="18"/>
      <c r="V12" s="18"/>
      <c r="W12">
        <f>COUNTIF(E12,"5.2*")</f>
        <v>0</v>
      </c>
    </row>
    <row r="13" spans="1:23" ht="20.100000000000001" customHeight="1" x14ac:dyDescent="0.3">
      <c r="A13" s="18"/>
      <c r="B13" s="88"/>
      <c r="C13" s="89">
        <v>4</v>
      </c>
      <c r="D13" s="68"/>
      <c r="E13" s="100"/>
      <c r="F13" s="99"/>
      <c r="G13" s="90" t="str">
        <f>IFERROR(VLOOKUP(E13,Picklists!$D$3:$H$105,3,FALSE),"")</f>
        <v/>
      </c>
      <c r="H13" s="70"/>
      <c r="I13" s="90" t="str">
        <f t="shared" si="4"/>
        <v/>
      </c>
      <c r="J13" s="90" t="str">
        <f>IFERROR(VLOOKUP(E13,Picklists!$D$3:$I$107,4,FALSE),"")</f>
        <v/>
      </c>
      <c r="K13" s="90" t="str">
        <f>IFERROR(VLOOKUP(E13,Picklists!$D$3:$I$107,5,FALSE),"")</f>
        <v/>
      </c>
      <c r="L13" s="90" t="str">
        <f t="shared" si="5"/>
        <v/>
      </c>
      <c r="M13" s="90" t="str">
        <f>IFERROR(VLOOKUP(E13,Picklists!$D$3:$I$107,6,FALSE),"")</f>
        <v/>
      </c>
      <c r="N13" s="90" t="str">
        <f t="shared" si="8"/>
        <v/>
      </c>
      <c r="O13" s="20" t="str">
        <f t="shared" ref="O13:O34" si="9">IF(W13=1,"Landfills always require TCM","")</f>
        <v/>
      </c>
      <c r="P13" s="91" t="str">
        <f t="shared" si="1"/>
        <v/>
      </c>
      <c r="Q13" s="91" t="str">
        <f t="shared" si="2"/>
        <v/>
      </c>
      <c r="R13" s="18" t="str">
        <f t="shared" si="6"/>
        <v>complete</v>
      </c>
      <c r="S13" s="92" t="str">
        <f t="shared" si="7"/>
        <v/>
      </c>
      <c r="T13" s="93"/>
      <c r="U13" s="18"/>
      <c r="V13" s="18"/>
      <c r="W13">
        <f t="shared" si="3"/>
        <v>0</v>
      </c>
    </row>
    <row r="14" spans="1:23" ht="20.100000000000001" customHeight="1" x14ac:dyDescent="0.3">
      <c r="A14" s="18"/>
      <c r="B14" s="88"/>
      <c r="C14" s="89">
        <v>5</v>
      </c>
      <c r="D14" s="68"/>
      <c r="E14" s="100"/>
      <c r="F14" s="99"/>
      <c r="G14" s="90" t="str">
        <f>IFERROR(VLOOKUP(E14,Picklists!$D$3:$H$105,3,FALSE),"")</f>
        <v/>
      </c>
      <c r="H14" s="71"/>
      <c r="I14" s="90" t="str">
        <f t="shared" si="4"/>
        <v/>
      </c>
      <c r="J14" s="90" t="str">
        <f>IFERROR(VLOOKUP(E14,Picklists!$D$3:$I$107,4,FALSE),"")</f>
        <v/>
      </c>
      <c r="K14" s="90" t="str">
        <f>IFERROR(VLOOKUP(E14,Picklists!$D$3:$I$107,5,FALSE),"")</f>
        <v/>
      </c>
      <c r="L14" s="90" t="str">
        <f t="shared" si="5"/>
        <v/>
      </c>
      <c r="M14" s="90" t="str">
        <f>IFERROR(VLOOKUP(E14,Picklists!$D$3:$I$107,6,FALSE),"")</f>
        <v/>
      </c>
      <c r="N14" s="90" t="str">
        <f t="shared" si="8"/>
        <v/>
      </c>
      <c r="O14" s="20" t="str">
        <f t="shared" si="9"/>
        <v/>
      </c>
      <c r="P14" s="91" t="str">
        <f t="shared" si="1"/>
        <v/>
      </c>
      <c r="Q14" s="91" t="str">
        <f t="shared" si="2"/>
        <v/>
      </c>
      <c r="R14" s="18" t="str">
        <f t="shared" si="6"/>
        <v>complete</v>
      </c>
      <c r="S14" s="92" t="str">
        <f t="shared" si="7"/>
        <v/>
      </c>
      <c r="T14" s="93" t="str">
        <f>IFERROR(+H14/G14,"")</f>
        <v/>
      </c>
      <c r="U14" s="18"/>
      <c r="V14" s="18"/>
      <c r="W14">
        <f t="shared" si="3"/>
        <v>0</v>
      </c>
    </row>
    <row r="15" spans="1:23" ht="20.100000000000001" customHeight="1" x14ac:dyDescent="0.3">
      <c r="A15" s="18"/>
      <c r="B15" s="88"/>
      <c r="C15" s="89">
        <v>6</v>
      </c>
      <c r="D15" s="68"/>
      <c r="E15" s="100"/>
      <c r="F15" s="99"/>
      <c r="G15" s="90" t="str">
        <f>IFERROR(VLOOKUP(E15,Picklists!$D$3:$H$105,3,FALSE),"")</f>
        <v/>
      </c>
      <c r="H15" s="70"/>
      <c r="I15" s="90" t="str">
        <f t="shared" si="4"/>
        <v/>
      </c>
      <c r="J15" s="90" t="str">
        <f>IFERROR(VLOOKUP(E15,Picklists!$D$3:$I$107,4,FALSE),"")</f>
        <v/>
      </c>
      <c r="K15" s="90" t="str">
        <f>IFERROR(VLOOKUP(E15,Picklists!$D$3:$I$107,5,FALSE),"")</f>
        <v/>
      </c>
      <c r="L15" s="90" t="str">
        <f t="shared" si="5"/>
        <v/>
      </c>
      <c r="M15" s="90" t="str">
        <f>IFERROR(VLOOKUP(E15,Picklists!$D$3:$I$107,6,FALSE),"")</f>
        <v/>
      </c>
      <c r="N15" s="90" t="str">
        <f t="shared" si="8"/>
        <v/>
      </c>
      <c r="O15" s="20" t="str">
        <f t="shared" si="9"/>
        <v/>
      </c>
      <c r="P15" s="91" t="str">
        <f t="shared" si="1"/>
        <v/>
      </c>
      <c r="Q15" s="91" t="str">
        <f t="shared" si="2"/>
        <v/>
      </c>
      <c r="R15" s="18" t="str">
        <f t="shared" si="6"/>
        <v>complete</v>
      </c>
      <c r="S15" s="92" t="str">
        <f t="shared" si="7"/>
        <v/>
      </c>
      <c r="T15" s="93" t="str">
        <f>IFERROR(+H15/G15,"")</f>
        <v/>
      </c>
      <c r="U15" s="18"/>
      <c r="V15" s="18"/>
      <c r="W15">
        <f t="shared" si="3"/>
        <v>0</v>
      </c>
    </row>
    <row r="16" spans="1:23" ht="20.100000000000001" customHeight="1" x14ac:dyDescent="0.3">
      <c r="A16" s="18"/>
      <c r="B16" s="88"/>
      <c r="C16" s="89">
        <v>7</v>
      </c>
      <c r="D16" s="68"/>
      <c r="E16" s="100"/>
      <c r="F16" s="99"/>
      <c r="G16" s="90" t="str">
        <f>IFERROR(VLOOKUP(E16,Picklists!$D$3:$H$105,3,FALSE),"")</f>
        <v/>
      </c>
      <c r="H16" s="70"/>
      <c r="I16" s="90" t="str">
        <f t="shared" si="4"/>
        <v/>
      </c>
      <c r="J16" s="90" t="str">
        <f>IFERROR(VLOOKUP(E16,Picklists!$D$3:$I$107,4,FALSE),"")</f>
        <v/>
      </c>
      <c r="K16" s="90" t="str">
        <f>IFERROR(VLOOKUP(E16,Picklists!$D$3:$I$107,5,FALSE),"")</f>
        <v/>
      </c>
      <c r="L16" s="90" t="str">
        <f t="shared" si="5"/>
        <v/>
      </c>
      <c r="M16" s="90" t="str">
        <f>IFERROR(VLOOKUP(E16,Picklists!$D$3:$I$107,6,FALSE),"")</f>
        <v/>
      </c>
      <c r="N16" s="90" t="str">
        <f t="shared" si="8"/>
        <v/>
      </c>
      <c r="O16" s="20" t="str">
        <f t="shared" si="9"/>
        <v/>
      </c>
      <c r="P16" s="91" t="str">
        <f t="shared" si="1"/>
        <v/>
      </c>
      <c r="Q16" s="91" t="str">
        <f t="shared" si="2"/>
        <v/>
      </c>
      <c r="R16" s="18" t="str">
        <f t="shared" si="6"/>
        <v>complete</v>
      </c>
      <c r="S16" s="92" t="str">
        <f t="shared" si="7"/>
        <v/>
      </c>
      <c r="T16" s="18"/>
      <c r="U16" s="66"/>
      <c r="V16" s="18"/>
      <c r="W16">
        <f t="shared" si="3"/>
        <v>0</v>
      </c>
    </row>
    <row r="17" spans="1:23" ht="20.100000000000001" customHeight="1" x14ac:dyDescent="0.3">
      <c r="A17" s="18"/>
      <c r="B17" s="88"/>
      <c r="C17" s="89">
        <v>8</v>
      </c>
      <c r="D17" s="68"/>
      <c r="E17" s="100"/>
      <c r="F17" s="99"/>
      <c r="G17" s="90" t="str">
        <f>IFERROR(VLOOKUP(E17,Picklists!$D$3:$H$105,3,FALSE),"")</f>
        <v/>
      </c>
      <c r="H17" s="70"/>
      <c r="I17" s="90" t="str">
        <f t="shared" si="4"/>
        <v/>
      </c>
      <c r="J17" s="90" t="str">
        <f>IFERROR(VLOOKUP(E17,Picklists!$D$3:$I$107,4,FALSE),"")</f>
        <v/>
      </c>
      <c r="K17" s="90" t="str">
        <f>IFERROR(VLOOKUP(E17,Picklists!$D$3:$I$107,5,FALSE),"")</f>
        <v/>
      </c>
      <c r="L17" s="90" t="str">
        <f t="shared" si="5"/>
        <v/>
      </c>
      <c r="M17" s="90" t="str">
        <f>IFERROR(VLOOKUP(E17,Picklists!$D$3:$I$107,6,FALSE),"")</f>
        <v/>
      </c>
      <c r="N17" s="90" t="str">
        <f t="shared" si="8"/>
        <v/>
      </c>
      <c r="O17" s="20" t="str">
        <f t="shared" si="9"/>
        <v/>
      </c>
      <c r="P17" s="91" t="str">
        <f t="shared" si="1"/>
        <v/>
      </c>
      <c r="Q17" s="91" t="str">
        <f t="shared" si="2"/>
        <v/>
      </c>
      <c r="R17" s="18" t="str">
        <f t="shared" si="6"/>
        <v>complete</v>
      </c>
      <c r="S17" s="92" t="str">
        <f t="shared" si="7"/>
        <v/>
      </c>
      <c r="T17" s="18"/>
      <c r="U17" s="18"/>
      <c r="V17" s="18"/>
      <c r="W17">
        <f t="shared" si="3"/>
        <v>0</v>
      </c>
    </row>
    <row r="18" spans="1:23" ht="20.100000000000001" customHeight="1" x14ac:dyDescent="0.3">
      <c r="A18" s="18"/>
      <c r="B18" s="88"/>
      <c r="C18" s="89">
        <v>9</v>
      </c>
      <c r="D18" s="68"/>
      <c r="E18" s="100"/>
      <c r="F18" s="99"/>
      <c r="G18" s="90" t="str">
        <f>IFERROR(VLOOKUP(E18,Picklists!$D$3:$H$105,3,FALSE),"")</f>
        <v/>
      </c>
      <c r="H18" s="70"/>
      <c r="I18" s="90" t="str">
        <f t="shared" si="4"/>
        <v/>
      </c>
      <c r="J18" s="90" t="str">
        <f>IFERROR(VLOOKUP(E18,Picklists!$D$3:$I$107,4,FALSE),"")</f>
        <v/>
      </c>
      <c r="K18" s="90" t="str">
        <f>IFERROR(VLOOKUP(E18,Picklists!$D$3:$I$107,5,FALSE),"")</f>
        <v/>
      </c>
      <c r="L18" s="90" t="str">
        <f t="shared" si="5"/>
        <v/>
      </c>
      <c r="M18" s="90" t="str">
        <f>IFERROR(VLOOKUP(E18,Picklists!$D$3:$I$107,6,FALSE),"")</f>
        <v/>
      </c>
      <c r="N18" s="90" t="str">
        <f t="shared" si="8"/>
        <v/>
      </c>
      <c r="O18" s="20" t="str">
        <f t="shared" si="9"/>
        <v/>
      </c>
      <c r="P18" s="91" t="str">
        <f t="shared" si="1"/>
        <v/>
      </c>
      <c r="Q18" s="91" t="str">
        <f t="shared" si="2"/>
        <v/>
      </c>
      <c r="R18" s="18" t="str">
        <f t="shared" si="6"/>
        <v>complete</v>
      </c>
      <c r="S18" s="92" t="str">
        <f t="shared" si="7"/>
        <v/>
      </c>
      <c r="T18" s="414"/>
      <c r="U18" s="414"/>
      <c r="V18" s="18"/>
      <c r="W18">
        <f t="shared" si="3"/>
        <v>0</v>
      </c>
    </row>
    <row r="19" spans="1:23" ht="20.100000000000001" customHeight="1" x14ac:dyDescent="0.3">
      <c r="A19" s="18"/>
      <c r="B19" s="88"/>
      <c r="C19" s="89">
        <v>10</v>
      </c>
      <c r="D19" s="68"/>
      <c r="E19" s="100"/>
      <c r="F19" s="99"/>
      <c r="G19" s="90" t="str">
        <f>IFERROR(VLOOKUP(E19,Picklists!$D$3:$H$105,3,FALSE),"")</f>
        <v/>
      </c>
      <c r="H19" s="70"/>
      <c r="I19" s="90" t="str">
        <f t="shared" si="4"/>
        <v/>
      </c>
      <c r="J19" s="90" t="str">
        <f>IFERROR(VLOOKUP(E19,Picklists!$D$3:$I$107,4,FALSE),"")</f>
        <v/>
      </c>
      <c r="K19" s="90" t="str">
        <f>IFERROR(VLOOKUP(E19,Picklists!$D$3:$I$107,5,FALSE),"")</f>
        <v/>
      </c>
      <c r="L19" s="90" t="str">
        <f t="shared" si="5"/>
        <v/>
      </c>
      <c r="M19" s="90" t="str">
        <f>IFERROR(VLOOKUP(E19,Picklists!$D$3:$I$107,6,FALSE),"")</f>
        <v/>
      </c>
      <c r="N19" s="90" t="str">
        <f t="shared" si="8"/>
        <v/>
      </c>
      <c r="O19" s="20" t="str">
        <f t="shared" si="9"/>
        <v/>
      </c>
      <c r="P19" s="91" t="str">
        <f t="shared" si="1"/>
        <v/>
      </c>
      <c r="Q19" s="91" t="str">
        <f t="shared" si="2"/>
        <v/>
      </c>
      <c r="R19" s="18" t="str">
        <f t="shared" si="6"/>
        <v>complete</v>
      </c>
      <c r="S19" s="92" t="str">
        <f t="shared" si="7"/>
        <v/>
      </c>
      <c r="T19" s="414"/>
      <c r="U19" s="414"/>
      <c r="V19" s="18"/>
      <c r="W19">
        <f t="shared" si="3"/>
        <v>0</v>
      </c>
    </row>
    <row r="20" spans="1:23" ht="20.100000000000001" customHeight="1" x14ac:dyDescent="0.3">
      <c r="A20" s="18"/>
      <c r="B20" s="88"/>
      <c r="C20" s="89">
        <v>11</v>
      </c>
      <c r="D20" s="68"/>
      <c r="E20" s="100"/>
      <c r="F20" s="99"/>
      <c r="G20" s="90" t="str">
        <f>IFERROR(VLOOKUP(E20,Picklists!$D$3:$H$105,3,FALSE),"")</f>
        <v/>
      </c>
      <c r="H20" s="70"/>
      <c r="I20" s="90" t="str">
        <f t="shared" si="4"/>
        <v/>
      </c>
      <c r="J20" s="90" t="str">
        <f>IFERROR(VLOOKUP(E20,Picklists!$D$3:$I$107,4,FALSE),"")</f>
        <v/>
      </c>
      <c r="K20" s="90" t="str">
        <f>IFERROR(VLOOKUP(E20,Picklists!$D$3:$I$107,5,FALSE),"")</f>
        <v/>
      </c>
      <c r="L20" s="90" t="str">
        <f t="shared" si="5"/>
        <v/>
      </c>
      <c r="M20" s="90" t="str">
        <f>IFERROR(VLOOKUP(E20,Picklists!$D$3:$I$107,6,FALSE),"")</f>
        <v/>
      </c>
      <c r="N20" s="90" t="str">
        <f t="shared" si="8"/>
        <v/>
      </c>
      <c r="O20" s="20" t="str">
        <f t="shared" si="9"/>
        <v/>
      </c>
      <c r="P20" s="91" t="str">
        <f t="shared" si="1"/>
        <v/>
      </c>
      <c r="Q20" s="91" t="str">
        <f t="shared" si="2"/>
        <v/>
      </c>
      <c r="R20" s="18" t="str">
        <f t="shared" si="6"/>
        <v>complete</v>
      </c>
      <c r="S20" s="92" t="str">
        <f t="shared" si="7"/>
        <v/>
      </c>
      <c r="T20" s="414"/>
      <c r="U20" s="414"/>
      <c r="V20" s="18"/>
      <c r="W20">
        <f t="shared" si="3"/>
        <v>0</v>
      </c>
    </row>
    <row r="21" spans="1:23" ht="20.100000000000001" customHeight="1" x14ac:dyDescent="0.3">
      <c r="A21" s="18"/>
      <c r="B21" s="88"/>
      <c r="C21" s="89">
        <v>12</v>
      </c>
      <c r="D21" s="68"/>
      <c r="E21" s="100"/>
      <c r="F21" s="99"/>
      <c r="G21" s="90" t="str">
        <f>IFERROR(VLOOKUP(E21,Picklists!$D$3:$H$105,3,FALSE),"")</f>
        <v/>
      </c>
      <c r="H21" s="70"/>
      <c r="I21" s="90" t="str">
        <f t="shared" si="4"/>
        <v/>
      </c>
      <c r="J21" s="90" t="str">
        <f>IFERROR(VLOOKUP(E21,Picklists!$D$3:$I$107,4,FALSE),"")</f>
        <v/>
      </c>
      <c r="K21" s="90" t="str">
        <f>IFERROR(VLOOKUP(E21,Picklists!$D$3:$I$107,5,FALSE),"")</f>
        <v/>
      </c>
      <c r="L21" s="90" t="str">
        <f t="shared" si="5"/>
        <v/>
      </c>
      <c r="M21" s="90" t="str">
        <f>IFERROR(VLOOKUP(E21,Picklists!$D$3:$I$107,6,FALSE),"")</f>
        <v/>
      </c>
      <c r="N21" s="90" t="str">
        <f t="shared" si="8"/>
        <v/>
      </c>
      <c r="O21" s="20" t="str">
        <f t="shared" si="9"/>
        <v/>
      </c>
      <c r="P21" s="91" t="str">
        <f t="shared" si="1"/>
        <v/>
      </c>
      <c r="Q21" s="91" t="str">
        <f t="shared" si="2"/>
        <v/>
      </c>
      <c r="R21" s="18" t="str">
        <f t="shared" si="6"/>
        <v>complete</v>
      </c>
      <c r="S21" s="92" t="str">
        <f t="shared" si="7"/>
        <v/>
      </c>
      <c r="T21" s="414"/>
      <c r="U21" s="414"/>
      <c r="V21" s="18"/>
      <c r="W21">
        <f t="shared" si="3"/>
        <v>0</v>
      </c>
    </row>
    <row r="22" spans="1:23" ht="20.100000000000001" customHeight="1" x14ac:dyDescent="0.3">
      <c r="A22" s="18"/>
      <c r="B22" s="88"/>
      <c r="C22" s="89">
        <v>13</v>
      </c>
      <c r="D22" s="68"/>
      <c r="E22" s="100"/>
      <c r="F22" s="99"/>
      <c r="G22" s="90" t="str">
        <f>IFERROR(VLOOKUP(E22,Picklists!$D$3:$H$105,3,FALSE),"")</f>
        <v/>
      </c>
      <c r="H22" s="70"/>
      <c r="I22" s="90" t="str">
        <f t="shared" si="4"/>
        <v/>
      </c>
      <c r="J22" s="90" t="str">
        <f>IFERROR(VLOOKUP(E22,Picklists!$D$3:$I$107,4,FALSE),"")</f>
        <v/>
      </c>
      <c r="K22" s="90" t="str">
        <f>IFERROR(VLOOKUP(E22,Picklists!$D$3:$I$107,5,FALSE),"")</f>
        <v/>
      </c>
      <c r="L22" s="90" t="str">
        <f t="shared" si="5"/>
        <v/>
      </c>
      <c r="M22" s="90" t="str">
        <f>IFERROR(VLOOKUP(E22,Picklists!$D$3:$I$107,6,FALSE),"")</f>
        <v/>
      </c>
      <c r="N22" s="90" t="str">
        <f t="shared" si="8"/>
        <v/>
      </c>
      <c r="O22" s="20" t="str">
        <f t="shared" si="9"/>
        <v/>
      </c>
      <c r="P22" s="91" t="str">
        <f t="shared" si="1"/>
        <v/>
      </c>
      <c r="Q22" s="91" t="str">
        <f t="shared" si="2"/>
        <v/>
      </c>
      <c r="R22" s="18" t="str">
        <f t="shared" si="6"/>
        <v>complete</v>
      </c>
      <c r="S22" s="92" t="str">
        <f t="shared" si="7"/>
        <v/>
      </c>
      <c r="T22" s="414"/>
      <c r="U22" s="414"/>
      <c r="V22" s="18"/>
      <c r="W22">
        <f t="shared" si="3"/>
        <v>0</v>
      </c>
    </row>
    <row r="23" spans="1:23" ht="20.100000000000001" customHeight="1" x14ac:dyDescent="0.3">
      <c r="A23" s="18"/>
      <c r="B23" s="88"/>
      <c r="C23" s="89">
        <v>14</v>
      </c>
      <c r="D23" s="68"/>
      <c r="E23" s="100"/>
      <c r="F23" s="99"/>
      <c r="G23" s="90" t="str">
        <f>IFERROR(VLOOKUP(E23,Picklists!$D$3:$H$105,3,FALSE),"")</f>
        <v/>
      </c>
      <c r="H23" s="70"/>
      <c r="I23" s="90" t="str">
        <f t="shared" si="4"/>
        <v/>
      </c>
      <c r="J23" s="90" t="str">
        <f>IFERROR(VLOOKUP(E23,Picklists!$D$3:$I$107,4,FALSE),"")</f>
        <v/>
      </c>
      <c r="K23" s="90" t="str">
        <f>IFERROR(VLOOKUP(E23,Picklists!$D$3:$I$107,5,FALSE),"")</f>
        <v/>
      </c>
      <c r="L23" s="90" t="str">
        <f t="shared" si="5"/>
        <v/>
      </c>
      <c r="M23" s="90" t="str">
        <f>IFERROR(VLOOKUP(E23,Picklists!$D$3:$I$107,6,FALSE),"")</f>
        <v/>
      </c>
      <c r="N23" s="90" t="str">
        <f t="shared" si="8"/>
        <v/>
      </c>
      <c r="O23" s="20" t="str">
        <f t="shared" si="9"/>
        <v/>
      </c>
      <c r="P23" s="91" t="str">
        <f t="shared" si="1"/>
        <v/>
      </c>
      <c r="Q23" s="91" t="str">
        <f t="shared" si="2"/>
        <v/>
      </c>
      <c r="R23" s="18" t="str">
        <f t="shared" si="6"/>
        <v>complete</v>
      </c>
      <c r="S23" s="92" t="str">
        <f t="shared" si="7"/>
        <v/>
      </c>
      <c r="T23" s="91"/>
      <c r="U23" s="91"/>
      <c r="V23" s="18"/>
      <c r="W23">
        <f t="shared" si="3"/>
        <v>0</v>
      </c>
    </row>
    <row r="24" spans="1:23" ht="20.100000000000001" customHeight="1" x14ac:dyDescent="0.3">
      <c r="A24" s="18"/>
      <c r="B24" s="88"/>
      <c r="C24" s="89">
        <v>15</v>
      </c>
      <c r="D24" s="68"/>
      <c r="E24" s="100"/>
      <c r="F24" s="99"/>
      <c r="G24" s="90" t="str">
        <f>IFERROR(VLOOKUP(E24,Picklists!$D$3:$H$105,3,FALSE),"")</f>
        <v/>
      </c>
      <c r="H24" s="70"/>
      <c r="I24" s="90" t="str">
        <f t="shared" si="4"/>
        <v/>
      </c>
      <c r="J24" s="90" t="str">
        <f>IFERROR(VLOOKUP(E24,Picklists!$D$3:$I$107,4,FALSE),"")</f>
        <v/>
      </c>
      <c r="K24" s="90" t="str">
        <f>IFERROR(VLOOKUP(E24,Picklists!$D$3:$I$107,5,FALSE),"")</f>
        <v/>
      </c>
      <c r="L24" s="90" t="str">
        <f t="shared" si="5"/>
        <v/>
      </c>
      <c r="M24" s="90" t="str">
        <f>IFERROR(VLOOKUP(E24,Picklists!$D$3:$I$107,6,FALSE),"")</f>
        <v/>
      </c>
      <c r="N24" s="90" t="str">
        <f t="shared" si="8"/>
        <v/>
      </c>
      <c r="O24" s="20" t="str">
        <f t="shared" si="9"/>
        <v/>
      </c>
      <c r="P24" s="91" t="str">
        <f t="shared" si="1"/>
        <v/>
      </c>
      <c r="Q24" s="91" t="str">
        <f t="shared" si="2"/>
        <v/>
      </c>
      <c r="R24" s="18" t="str">
        <f t="shared" si="6"/>
        <v>complete</v>
      </c>
      <c r="S24" s="92" t="str">
        <f t="shared" si="7"/>
        <v/>
      </c>
      <c r="T24" s="94"/>
      <c r="U24" s="94"/>
      <c r="V24" s="18"/>
      <c r="W24">
        <f t="shared" si="3"/>
        <v>0</v>
      </c>
    </row>
    <row r="25" spans="1:23" ht="20.100000000000001" customHeight="1" x14ac:dyDescent="0.3">
      <c r="A25" s="18"/>
      <c r="B25" s="88"/>
      <c r="C25" s="89">
        <v>16</v>
      </c>
      <c r="D25" s="68"/>
      <c r="E25" s="100"/>
      <c r="F25" s="99"/>
      <c r="G25" s="90" t="str">
        <f>IFERROR(VLOOKUP(E25,Picklists!$D$3:$H$105,3,FALSE),"")</f>
        <v/>
      </c>
      <c r="H25" s="70"/>
      <c r="I25" s="90" t="str">
        <f t="shared" si="4"/>
        <v/>
      </c>
      <c r="J25" s="90" t="str">
        <f>IFERROR(VLOOKUP(E25,Picklists!$D$3:$I$107,4,FALSE),"")</f>
        <v/>
      </c>
      <c r="K25" s="90" t="str">
        <f>IFERROR(VLOOKUP(E25,Picklists!$D$3:$I$107,5,FALSE),"")</f>
        <v/>
      </c>
      <c r="L25" s="90" t="str">
        <f t="shared" si="5"/>
        <v/>
      </c>
      <c r="M25" s="90" t="str">
        <f>IFERROR(VLOOKUP(E25,Picklists!$D$3:$I$107,6,FALSE),"")</f>
        <v/>
      </c>
      <c r="N25" s="90" t="str">
        <f t="shared" si="8"/>
        <v/>
      </c>
      <c r="O25" s="20" t="str">
        <f t="shared" si="9"/>
        <v/>
      </c>
      <c r="P25" s="91" t="str">
        <f t="shared" si="1"/>
        <v/>
      </c>
      <c r="Q25" s="91" t="str">
        <f t="shared" si="2"/>
        <v/>
      </c>
      <c r="R25" s="18" t="str">
        <f t="shared" si="6"/>
        <v>complete</v>
      </c>
      <c r="S25" s="92" t="str">
        <f t="shared" si="7"/>
        <v/>
      </c>
      <c r="T25" s="94"/>
      <c r="U25" s="94"/>
      <c r="V25" s="18"/>
      <c r="W25">
        <f t="shared" si="3"/>
        <v>0</v>
      </c>
    </row>
    <row r="26" spans="1:23" ht="20.100000000000001" customHeight="1" x14ac:dyDescent="0.3">
      <c r="A26" s="18"/>
      <c r="B26" s="88"/>
      <c r="C26" s="89">
        <v>17</v>
      </c>
      <c r="D26" s="68"/>
      <c r="E26" s="100"/>
      <c r="F26" s="99"/>
      <c r="G26" s="90" t="str">
        <f>IFERROR(VLOOKUP(E26,Picklists!$D$3:$H$105,3,FALSE),"")</f>
        <v/>
      </c>
      <c r="H26" s="70"/>
      <c r="I26" s="90" t="str">
        <f t="shared" si="4"/>
        <v/>
      </c>
      <c r="J26" s="90" t="str">
        <f>IFERROR(VLOOKUP(E26,Picklists!$D$3:$I$107,4,FALSE),"")</f>
        <v/>
      </c>
      <c r="K26" s="90" t="str">
        <f>IFERROR(VLOOKUP(E26,Picklists!$D$3:$I$107,5,FALSE),"")</f>
        <v/>
      </c>
      <c r="L26" s="90" t="str">
        <f t="shared" si="5"/>
        <v/>
      </c>
      <c r="M26" s="90" t="str">
        <f>IFERROR(VLOOKUP(E26,Picklists!$D$3:$I$107,6,FALSE),"")</f>
        <v/>
      </c>
      <c r="N26" s="90" t="str">
        <f t="shared" si="8"/>
        <v/>
      </c>
      <c r="O26" s="20" t="str">
        <f t="shared" si="9"/>
        <v/>
      </c>
      <c r="P26" s="91" t="str">
        <f t="shared" si="1"/>
        <v/>
      </c>
      <c r="Q26" s="91" t="str">
        <f t="shared" si="2"/>
        <v/>
      </c>
      <c r="R26" s="18" t="str">
        <f t="shared" si="6"/>
        <v>complete</v>
      </c>
      <c r="S26" s="92" t="str">
        <f t="shared" si="7"/>
        <v/>
      </c>
      <c r="T26" s="94"/>
      <c r="U26" s="94"/>
      <c r="V26" s="18"/>
      <c r="W26">
        <f t="shared" si="3"/>
        <v>0</v>
      </c>
    </row>
    <row r="27" spans="1:23" ht="20.100000000000001" customHeight="1" x14ac:dyDescent="0.3">
      <c r="A27" s="18"/>
      <c r="B27" s="88"/>
      <c r="C27" s="89">
        <v>18</v>
      </c>
      <c r="D27" s="68"/>
      <c r="E27" s="100"/>
      <c r="F27" s="99"/>
      <c r="G27" s="90" t="str">
        <f>IFERROR(VLOOKUP(E27,Picklists!$D$3:$H$105,3,FALSE),"")</f>
        <v/>
      </c>
      <c r="H27" s="70"/>
      <c r="I27" s="90" t="str">
        <f t="shared" si="4"/>
        <v/>
      </c>
      <c r="J27" s="90" t="str">
        <f>IFERROR(VLOOKUP(E27,Picklists!$D$3:$I$107,4,FALSE),"")</f>
        <v/>
      </c>
      <c r="K27" s="90" t="str">
        <f>IFERROR(VLOOKUP(E27,Picklists!$D$3:$I$107,5,FALSE),"")</f>
        <v/>
      </c>
      <c r="L27" s="90" t="str">
        <f t="shared" si="5"/>
        <v/>
      </c>
      <c r="M27" s="90" t="str">
        <f>IFERROR(VLOOKUP(E27,Picklists!$D$3:$I$107,6,FALSE),"")</f>
        <v/>
      </c>
      <c r="N27" s="90" t="str">
        <f t="shared" si="8"/>
        <v/>
      </c>
      <c r="O27" s="20" t="str">
        <f t="shared" si="9"/>
        <v/>
      </c>
      <c r="P27" s="91" t="str">
        <f t="shared" si="1"/>
        <v/>
      </c>
      <c r="Q27" s="91" t="str">
        <f t="shared" si="2"/>
        <v/>
      </c>
      <c r="R27" s="18" t="str">
        <f t="shared" si="6"/>
        <v>complete</v>
      </c>
      <c r="S27" s="92" t="str">
        <f t="shared" si="7"/>
        <v/>
      </c>
      <c r="T27" s="415"/>
      <c r="U27" s="415"/>
      <c r="V27" s="18"/>
      <c r="W27">
        <f t="shared" si="3"/>
        <v>0</v>
      </c>
    </row>
    <row r="28" spans="1:23" ht="20.100000000000001" customHeight="1" x14ac:dyDescent="0.3">
      <c r="A28" s="18"/>
      <c r="B28" s="88"/>
      <c r="C28" s="89">
        <v>19</v>
      </c>
      <c r="D28" s="68"/>
      <c r="E28" s="100"/>
      <c r="F28" s="99"/>
      <c r="G28" s="90" t="str">
        <f>IFERROR(VLOOKUP(E28,Picklists!$D$3:$H$105,3,FALSE),"")</f>
        <v/>
      </c>
      <c r="H28" s="70"/>
      <c r="I28" s="90" t="str">
        <f t="shared" si="4"/>
        <v/>
      </c>
      <c r="J28" s="90" t="str">
        <f>IFERROR(VLOOKUP(E28,Picklists!$D$3:$I$107,4,FALSE),"")</f>
        <v/>
      </c>
      <c r="K28" s="90" t="str">
        <f>IFERROR(VLOOKUP(E28,Picklists!$D$3:$I$107,5,FALSE),"")</f>
        <v/>
      </c>
      <c r="L28" s="90" t="str">
        <f t="shared" si="5"/>
        <v/>
      </c>
      <c r="M28" s="90" t="str">
        <f>IFERROR(VLOOKUP(E28,Picklists!$D$3:$I$107,6,FALSE),"")</f>
        <v/>
      </c>
      <c r="N28" s="90" t="str">
        <f t="shared" si="8"/>
        <v/>
      </c>
      <c r="O28" s="20" t="str">
        <f t="shared" si="9"/>
        <v/>
      </c>
      <c r="P28" s="91" t="str">
        <f t="shared" si="1"/>
        <v/>
      </c>
      <c r="Q28" s="91" t="str">
        <f t="shared" si="2"/>
        <v/>
      </c>
      <c r="R28" s="18" t="str">
        <f t="shared" si="6"/>
        <v>complete</v>
      </c>
      <c r="S28" s="92" t="str">
        <f t="shared" si="7"/>
        <v/>
      </c>
      <c r="T28" s="415"/>
      <c r="U28" s="415"/>
      <c r="V28" s="18"/>
      <c r="W28">
        <f t="shared" si="3"/>
        <v>0</v>
      </c>
    </row>
    <row r="29" spans="1:23" ht="20.100000000000001" customHeight="1" x14ac:dyDescent="0.3">
      <c r="A29" s="18"/>
      <c r="B29" s="88"/>
      <c r="C29" s="89">
        <v>20</v>
      </c>
      <c r="D29" s="69"/>
      <c r="E29" s="101"/>
      <c r="F29" s="99"/>
      <c r="G29" s="90" t="str">
        <f>IFERROR(VLOOKUP(E29,Picklists!$D$3:$H$105,3,FALSE),"")</f>
        <v/>
      </c>
      <c r="H29" s="70"/>
      <c r="I29" s="90" t="str">
        <f t="shared" si="4"/>
        <v/>
      </c>
      <c r="J29" s="90" t="str">
        <f>IFERROR(VLOOKUP(E29,Picklists!$D$3:$I$107,4,FALSE),"")</f>
        <v/>
      </c>
      <c r="K29" s="90" t="str">
        <f>IFERROR(VLOOKUP(E29,Picklists!$D$3:$I$107,5,FALSE),"")</f>
        <v/>
      </c>
      <c r="L29" s="90" t="str">
        <f t="shared" si="5"/>
        <v/>
      </c>
      <c r="M29" s="90" t="str">
        <f>IFERROR(VLOOKUP(E29,Picklists!$D$3:$I$107,6,FALSE),"")</f>
        <v/>
      </c>
      <c r="N29" s="90" t="str">
        <f t="shared" si="8"/>
        <v/>
      </c>
      <c r="O29" s="20" t="str">
        <f t="shared" si="9"/>
        <v/>
      </c>
      <c r="P29" s="91" t="str">
        <f t="shared" si="1"/>
        <v/>
      </c>
      <c r="Q29" s="91" t="str">
        <f t="shared" si="2"/>
        <v/>
      </c>
      <c r="R29" s="18" t="str">
        <f t="shared" si="6"/>
        <v>complete</v>
      </c>
      <c r="S29" s="92" t="str">
        <f t="shared" si="7"/>
        <v/>
      </c>
      <c r="T29" s="415"/>
      <c r="U29" s="415"/>
      <c r="V29" s="18"/>
      <c r="W29">
        <f t="shared" si="3"/>
        <v>0</v>
      </c>
    </row>
    <row r="30" spans="1:23" ht="20.100000000000001" customHeight="1" x14ac:dyDescent="0.3">
      <c r="A30" s="18"/>
      <c r="B30" s="88"/>
      <c r="C30" s="89">
        <v>21</v>
      </c>
      <c r="D30" s="69"/>
      <c r="E30" s="101"/>
      <c r="F30" s="99"/>
      <c r="G30" s="90" t="str">
        <f>IFERROR(VLOOKUP(E30,Picklists!$D$3:$H$105,3,FALSE),"")</f>
        <v/>
      </c>
      <c r="H30" s="70"/>
      <c r="I30" s="90" t="str">
        <f t="shared" si="4"/>
        <v/>
      </c>
      <c r="J30" s="90" t="str">
        <f>IFERROR(VLOOKUP(E30,Picklists!$D$3:$I$107,4,FALSE),"")</f>
        <v/>
      </c>
      <c r="K30" s="90" t="str">
        <f>IFERROR(VLOOKUP(E30,Picklists!$D$3:$I$107,5,FALSE),"")</f>
        <v/>
      </c>
      <c r="L30" s="90" t="str">
        <f t="shared" si="5"/>
        <v/>
      </c>
      <c r="M30" s="90" t="str">
        <f>IFERROR(VLOOKUP(E30,Picklists!$D$3:$I$107,6,FALSE),"")</f>
        <v/>
      </c>
      <c r="N30" s="90" t="str">
        <f t="shared" si="8"/>
        <v/>
      </c>
      <c r="O30" s="20" t="str">
        <f t="shared" si="9"/>
        <v/>
      </c>
      <c r="P30" s="91" t="str">
        <f t="shared" si="1"/>
        <v/>
      </c>
      <c r="Q30" s="91" t="str">
        <f t="shared" si="2"/>
        <v/>
      </c>
      <c r="R30" s="18" t="str">
        <f t="shared" si="6"/>
        <v>complete</v>
      </c>
      <c r="S30" s="92" t="str">
        <f t="shared" si="7"/>
        <v/>
      </c>
      <c r="T30" s="18"/>
      <c r="U30" s="18"/>
      <c r="V30" s="18"/>
      <c r="W30">
        <f t="shared" si="3"/>
        <v>0</v>
      </c>
    </row>
    <row r="31" spans="1:23" ht="20.100000000000001" customHeight="1" x14ac:dyDescent="0.3">
      <c r="A31" s="18"/>
      <c r="B31" s="88"/>
      <c r="C31" s="89">
        <v>22</v>
      </c>
      <c r="D31" s="69"/>
      <c r="E31" s="101"/>
      <c r="F31" s="99"/>
      <c r="G31" s="90" t="str">
        <f>IFERROR(VLOOKUP(E31,Picklists!$D$3:$H$105,3,FALSE),"")</f>
        <v/>
      </c>
      <c r="H31" s="70"/>
      <c r="I31" s="90" t="str">
        <f t="shared" si="4"/>
        <v/>
      </c>
      <c r="J31" s="90" t="str">
        <f>IFERROR(VLOOKUP(E31,Picklists!$D$3:$I$107,4,FALSE),"")</f>
        <v/>
      </c>
      <c r="K31" s="90" t="str">
        <f>IFERROR(VLOOKUP(E31,Picklists!$D$3:$I$107,5,FALSE),"")</f>
        <v/>
      </c>
      <c r="L31" s="90" t="str">
        <f t="shared" si="5"/>
        <v/>
      </c>
      <c r="M31" s="90" t="str">
        <f>IFERROR(VLOOKUP(E31,Picklists!$D$3:$I$107,6,FALSE),"")</f>
        <v/>
      </c>
      <c r="N31" s="90" t="str">
        <f t="shared" si="8"/>
        <v/>
      </c>
      <c r="O31" s="20" t="str">
        <f t="shared" si="9"/>
        <v/>
      </c>
      <c r="P31" s="91" t="str">
        <f t="shared" si="1"/>
        <v/>
      </c>
      <c r="Q31" s="91" t="str">
        <f t="shared" si="2"/>
        <v/>
      </c>
      <c r="R31" s="18" t="str">
        <f t="shared" si="6"/>
        <v>complete</v>
      </c>
      <c r="S31" s="92" t="str">
        <f t="shared" si="7"/>
        <v/>
      </c>
      <c r="T31" s="18"/>
      <c r="U31" s="18"/>
      <c r="V31" s="18"/>
      <c r="W31">
        <f t="shared" si="3"/>
        <v>0</v>
      </c>
    </row>
    <row r="32" spans="1:23" ht="20.100000000000001" customHeight="1" x14ac:dyDescent="0.3">
      <c r="A32" s="18"/>
      <c r="B32" s="88"/>
      <c r="C32" s="89">
        <v>23</v>
      </c>
      <c r="D32" s="69"/>
      <c r="E32" s="101"/>
      <c r="F32" s="99"/>
      <c r="G32" s="90" t="str">
        <f>IFERROR(VLOOKUP(E32,Picklists!$D$3:$H$105,3,FALSE),"")</f>
        <v/>
      </c>
      <c r="H32" s="70"/>
      <c r="I32" s="90" t="str">
        <f t="shared" si="4"/>
        <v/>
      </c>
      <c r="J32" s="90" t="str">
        <f>IFERROR(VLOOKUP(E32,Picklists!$D$3:$I$107,4,FALSE),"")</f>
        <v/>
      </c>
      <c r="K32" s="90" t="str">
        <f>IFERROR(VLOOKUP(E32,Picklists!$D$3:$I$107,5,FALSE),"")</f>
        <v/>
      </c>
      <c r="L32" s="90" t="str">
        <f t="shared" si="5"/>
        <v/>
      </c>
      <c r="M32" s="90" t="str">
        <f>IFERROR(VLOOKUP(E32,Picklists!$D$3:$I$107,6,FALSE),"")</f>
        <v/>
      </c>
      <c r="N32" s="90" t="str">
        <f t="shared" si="8"/>
        <v/>
      </c>
      <c r="O32" s="20" t="str">
        <f t="shared" si="9"/>
        <v/>
      </c>
      <c r="P32" s="91" t="str">
        <f t="shared" si="1"/>
        <v/>
      </c>
      <c r="Q32" s="91" t="str">
        <f t="shared" si="2"/>
        <v/>
      </c>
      <c r="R32" s="18" t="str">
        <f t="shared" si="6"/>
        <v>complete</v>
      </c>
      <c r="S32" s="92" t="str">
        <f t="shared" si="7"/>
        <v/>
      </c>
      <c r="T32" s="18"/>
      <c r="U32" s="18"/>
      <c r="V32" s="18"/>
      <c r="W32">
        <f t="shared" si="3"/>
        <v>0</v>
      </c>
    </row>
    <row r="33" spans="1:23" ht="20.100000000000001" customHeight="1" x14ac:dyDescent="0.3">
      <c r="A33" s="18"/>
      <c r="B33" s="88"/>
      <c r="C33" s="89">
        <v>24</v>
      </c>
      <c r="D33" s="69"/>
      <c r="E33" s="101"/>
      <c r="F33" s="99"/>
      <c r="G33" s="90" t="str">
        <f>IFERROR(VLOOKUP(E33,Picklists!$D$3:$H$105,3,FALSE),"")</f>
        <v/>
      </c>
      <c r="H33" s="70"/>
      <c r="I33" s="90" t="str">
        <f t="shared" si="4"/>
        <v/>
      </c>
      <c r="J33" s="90" t="str">
        <f>IFERROR(VLOOKUP(E33,Picklists!$D$3:$I$107,4,FALSE),"")</f>
        <v/>
      </c>
      <c r="K33" s="90" t="str">
        <f>IFERROR(VLOOKUP(E33,Picklists!$D$3:$I$107,5,FALSE),"")</f>
        <v/>
      </c>
      <c r="L33" s="90" t="str">
        <f t="shared" si="5"/>
        <v/>
      </c>
      <c r="M33" s="90" t="str">
        <f>IFERROR(VLOOKUP(E33,Picklists!$D$3:$I$107,6,FALSE),"")</f>
        <v/>
      </c>
      <c r="N33" s="90" t="str">
        <f t="shared" si="8"/>
        <v/>
      </c>
      <c r="O33" s="20" t="str">
        <f t="shared" si="9"/>
        <v/>
      </c>
      <c r="P33" s="91" t="str">
        <f t="shared" si="1"/>
        <v/>
      </c>
      <c r="Q33" s="91" t="str">
        <f t="shared" si="2"/>
        <v/>
      </c>
      <c r="R33" s="18" t="str">
        <f t="shared" si="6"/>
        <v>complete</v>
      </c>
      <c r="S33" s="92" t="str">
        <f t="shared" si="7"/>
        <v/>
      </c>
      <c r="T33" s="18"/>
      <c r="U33" s="18"/>
      <c r="V33" s="18"/>
      <c r="W33">
        <f t="shared" si="3"/>
        <v>0</v>
      </c>
    </row>
    <row r="34" spans="1:23" ht="20.100000000000001" customHeight="1" x14ac:dyDescent="0.3">
      <c r="A34" s="18"/>
      <c r="B34" s="88"/>
      <c r="C34" s="89">
        <v>25</v>
      </c>
      <c r="D34" s="68"/>
      <c r="E34" s="100"/>
      <c r="F34" s="99"/>
      <c r="G34" s="90" t="str">
        <f>IFERROR(VLOOKUP(E34,Picklists!$D$3:$H$105,3,FALSE),"")</f>
        <v/>
      </c>
      <c r="H34" s="70"/>
      <c r="I34" s="90" t="str">
        <f t="shared" si="4"/>
        <v/>
      </c>
      <c r="J34" s="90" t="str">
        <f>IFERROR(VLOOKUP(E34,Picklists!$D$3:$I$107,4,FALSE),"")</f>
        <v/>
      </c>
      <c r="K34" s="90" t="str">
        <f>IFERROR(VLOOKUP(E34,Picklists!$D$3:$I$107,5,FALSE),"")</f>
        <v/>
      </c>
      <c r="L34" s="90" t="str">
        <f t="shared" si="5"/>
        <v/>
      </c>
      <c r="M34" s="90" t="str">
        <f>IFERROR(VLOOKUP(E34,Picklists!$D$3:$I$107,6,FALSE),"")</f>
        <v/>
      </c>
      <c r="N34" s="90" t="str">
        <f t="shared" si="8"/>
        <v/>
      </c>
      <c r="O34" s="20" t="str">
        <f t="shared" si="9"/>
        <v/>
      </c>
      <c r="P34" s="91" t="str">
        <f t="shared" si="1"/>
        <v/>
      </c>
      <c r="Q34" s="91" t="str">
        <f t="shared" si="2"/>
        <v/>
      </c>
      <c r="R34" s="18" t="str">
        <f t="shared" si="6"/>
        <v>complete</v>
      </c>
      <c r="S34" s="92" t="str">
        <f t="shared" si="7"/>
        <v/>
      </c>
      <c r="T34" s="18"/>
      <c r="U34" s="18"/>
      <c r="V34" s="18"/>
      <c r="W34">
        <f t="shared" si="3"/>
        <v>0</v>
      </c>
    </row>
    <row r="35" spans="1:23" x14ac:dyDescent="0.3">
      <c r="A35" s="18"/>
      <c r="B35" s="17"/>
      <c r="C35" s="18"/>
      <c r="D35" s="18"/>
      <c r="E35" s="18"/>
      <c r="F35" s="18"/>
      <c r="G35" s="66"/>
      <c r="H35" s="18"/>
      <c r="I35" s="18"/>
      <c r="J35" s="18"/>
      <c r="K35" s="18"/>
      <c r="L35" s="18"/>
      <c r="M35" s="18"/>
      <c r="N35" s="18"/>
      <c r="O35" s="20"/>
      <c r="P35" s="18"/>
      <c r="Q35" s="18"/>
      <c r="R35" s="18"/>
      <c r="S35" s="18"/>
      <c r="T35" s="18"/>
      <c r="U35" s="18"/>
      <c r="V35" s="18"/>
    </row>
    <row r="36" spans="1:23" x14ac:dyDescent="0.3">
      <c r="A36" s="18"/>
      <c r="B36" s="17"/>
      <c r="C36" s="18"/>
      <c r="D36" s="18"/>
      <c r="E36" s="18"/>
      <c r="F36" s="18"/>
      <c r="G36" s="56"/>
      <c r="H36" s="18"/>
      <c r="I36" s="18"/>
      <c r="J36" s="18"/>
      <c r="K36" s="18"/>
      <c r="L36" s="18"/>
      <c r="M36" s="18"/>
      <c r="N36" s="18"/>
      <c r="O36" s="20"/>
      <c r="P36" s="18"/>
      <c r="Q36" s="18"/>
      <c r="R36" s="18"/>
      <c r="S36" s="18"/>
      <c r="T36" s="18"/>
      <c r="U36" s="18"/>
      <c r="V36" s="18"/>
    </row>
    <row r="37" spans="1:23" x14ac:dyDescent="0.3">
      <c r="A37" s="18"/>
      <c r="B37" s="17"/>
      <c r="C37" s="56"/>
      <c r="D37" s="18"/>
      <c r="E37" s="18"/>
      <c r="F37" s="18"/>
      <c r="G37" s="66"/>
      <c r="H37" s="18"/>
      <c r="I37" s="18"/>
      <c r="J37" s="18"/>
      <c r="K37" s="18"/>
      <c r="L37" s="18"/>
      <c r="M37" s="18"/>
      <c r="N37" s="18"/>
      <c r="O37" s="20"/>
      <c r="P37" s="18"/>
      <c r="Q37" s="18"/>
      <c r="R37" s="18"/>
      <c r="S37" s="18"/>
      <c r="T37" s="18"/>
      <c r="U37" s="18"/>
      <c r="V37" s="18"/>
    </row>
    <row r="38" spans="1:23" x14ac:dyDescent="0.3">
      <c r="A38" s="18"/>
      <c r="B38" s="17"/>
      <c r="C38" s="18"/>
      <c r="D38" s="18"/>
      <c r="E38" s="18"/>
      <c r="F38" s="18"/>
      <c r="G38" s="56"/>
      <c r="H38" s="18"/>
      <c r="I38" s="18"/>
      <c r="J38" s="18"/>
      <c r="K38" s="18"/>
      <c r="L38" s="18"/>
      <c r="M38" s="18"/>
      <c r="N38" s="18"/>
      <c r="O38" s="20"/>
      <c r="P38" s="18"/>
      <c r="Q38" s="18"/>
      <c r="R38" s="18"/>
      <c r="S38" s="18"/>
      <c r="T38" s="18"/>
      <c r="U38" s="18"/>
      <c r="V38" s="18"/>
    </row>
    <row r="39" spans="1:23" x14ac:dyDescent="0.3">
      <c r="A39" s="18"/>
      <c r="B39" s="17"/>
      <c r="C39" s="23"/>
      <c r="D39" s="23"/>
      <c r="E39" s="23"/>
      <c r="F39" s="95"/>
      <c r="G39" s="56"/>
      <c r="H39" s="18"/>
      <c r="I39" s="18"/>
      <c r="J39" s="18"/>
      <c r="K39" s="18"/>
      <c r="L39" s="18"/>
      <c r="M39" s="18"/>
      <c r="N39" s="18"/>
      <c r="O39" s="20"/>
      <c r="P39" s="18"/>
      <c r="Q39" s="18"/>
      <c r="R39" s="18"/>
      <c r="S39" s="18"/>
      <c r="T39" s="18"/>
      <c r="U39" s="18"/>
      <c r="V39" s="18"/>
    </row>
    <row r="40" spans="1:23" x14ac:dyDescent="0.3">
      <c r="A40" s="18"/>
      <c r="B40" s="17"/>
      <c r="C40" s="413"/>
      <c r="D40" s="413"/>
      <c r="E40" s="413"/>
      <c r="F40" s="96"/>
      <c r="G40" s="56"/>
      <c r="H40" s="18"/>
      <c r="I40" s="18"/>
      <c r="J40" s="18"/>
      <c r="K40" s="18"/>
      <c r="L40" s="18"/>
      <c r="M40" s="18"/>
      <c r="N40" s="18"/>
      <c r="O40" s="20"/>
      <c r="P40" s="18"/>
      <c r="Q40" s="18"/>
      <c r="R40" s="18"/>
      <c r="S40" s="18"/>
      <c r="T40" s="18"/>
      <c r="U40" s="18"/>
      <c r="V40" s="18"/>
    </row>
    <row r="41" spans="1:23" x14ac:dyDescent="0.3">
      <c r="A41" s="18"/>
      <c r="B41" s="17"/>
      <c r="C41" s="56"/>
      <c r="D41" s="97"/>
      <c r="E41" s="97"/>
      <c r="F41" s="97"/>
      <c r="G41" s="66"/>
      <c r="H41" s="18"/>
      <c r="I41" s="18"/>
      <c r="J41" s="18"/>
      <c r="K41" s="18"/>
      <c r="L41" s="18"/>
      <c r="M41" s="18"/>
      <c r="N41" s="18"/>
      <c r="O41" s="20"/>
      <c r="P41" s="18"/>
      <c r="Q41" s="18"/>
      <c r="R41" s="18"/>
      <c r="S41" s="18"/>
      <c r="T41" s="18"/>
      <c r="U41" s="18"/>
      <c r="V41" s="18"/>
    </row>
    <row r="42" spans="1:23" ht="15" thickBot="1" x14ac:dyDescent="0.35">
      <c r="A42" s="18"/>
      <c r="B42" s="24"/>
      <c r="C42" s="25"/>
      <c r="D42" s="25"/>
      <c r="E42" s="25"/>
      <c r="F42" s="25"/>
      <c r="G42" s="36"/>
      <c r="H42" s="25"/>
      <c r="I42" s="25"/>
      <c r="J42" s="25"/>
      <c r="K42" s="25"/>
      <c r="L42" s="25"/>
      <c r="M42" s="25"/>
      <c r="N42" s="25"/>
      <c r="O42" s="27"/>
      <c r="P42" s="25"/>
      <c r="Q42" s="18"/>
      <c r="R42" s="18"/>
      <c r="S42" s="18"/>
      <c r="T42" s="18"/>
      <c r="U42" s="18"/>
      <c r="V42" s="18"/>
    </row>
  </sheetData>
  <sheetProtection algorithmName="SHA-512" hashValue="yMWfvhII/bcHfaPSQcUkoMGX6gyxv0c0ZziOOudU62Jja2uDZlc8XpRCnE53k6xLLbm8RXoCLbmYB+6T4S30xg==" saltValue="ZRArF/bbhYM+ueE7sblPjQ==" spinCount="100000" sheet="1" objects="1" scenarios="1"/>
  <mergeCells count="8">
    <mergeCell ref="B4:O4"/>
    <mergeCell ref="B3:O3"/>
    <mergeCell ref="C40:E40"/>
    <mergeCell ref="T18:U22"/>
    <mergeCell ref="T27:U29"/>
    <mergeCell ref="F6:F8"/>
    <mergeCell ref="H6:H8"/>
    <mergeCell ref="N7:N8"/>
  </mergeCells>
  <conditionalFormatting sqref="R10:R34">
    <cfRule type="cellIs" dxfId="31" priority="10" operator="equal">
      <formula>"incomplete"</formula>
    </cfRule>
    <cfRule type="cellIs" dxfId="30" priority="11" operator="equal">
      <formula>"complete"</formula>
    </cfRule>
  </conditionalFormatting>
  <dataValidations count="2">
    <dataValidation allowBlank="1" sqref="G41:I42 G35:I35" xr:uid="{00000000-0002-0000-0200-000000000000}"/>
    <dataValidation allowBlank="1" errorTitle="Select From List" prompt="Select from List" sqref="E41:F41" xr:uid="{00000000-0002-0000-0200-000001000000}"/>
  </dataValidations>
  <pageMargins left="0.7" right="0.7" top="0.75" bottom="0.75" header="0.3" footer="0.3"/>
  <pageSetup paperSize="9" orientation="portrait" horizontalDpi="203" verticalDpi="203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Picklists!$AF$2:$AF$3</xm:f>
          </x14:formula1>
          <xm:sqref>F10:F34</xm:sqref>
        </x14:dataValidation>
        <x14:dataValidation type="list" allowBlank="1" showInputMessage="1" showErrorMessage="1" xr:uid="{00000000-0002-0000-0200-000003000000}">
          <x14:formula1>
            <xm:f>Picklists!$D$3:$D$105</xm:f>
          </x14:formula1>
          <xm:sqref>E10:E34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1DE11-CFF6-4BA5-9847-E14DA68B0157}">
  <sheetPr>
    <tabColor theme="5" tint="0.39997558519241921"/>
  </sheetPr>
  <dimension ref="A1:M35"/>
  <sheetViews>
    <sheetView workbookViewId="0">
      <selection activeCell="E3" sqref="E3"/>
    </sheetView>
  </sheetViews>
  <sheetFormatPr defaultRowHeight="14.4" x14ac:dyDescent="0.3"/>
  <cols>
    <col min="1" max="1" width="3.33203125" customWidth="1"/>
    <col min="2" max="2" width="11.5546875" hidden="1" customWidth="1"/>
    <col min="3" max="3" width="11" hidden="1" customWidth="1"/>
    <col min="4" max="4" width="8.109375" customWidth="1"/>
    <col min="5" max="5" width="9.109375" customWidth="1"/>
    <col min="6" max="6" width="42" customWidth="1"/>
    <col min="7" max="7" width="32.88671875" customWidth="1"/>
    <col min="8" max="8" width="53.88671875" customWidth="1"/>
    <col min="9" max="9" width="31.88671875" hidden="1" customWidth="1"/>
    <col min="10" max="13" width="9.109375" customWidth="1"/>
  </cols>
  <sheetData>
    <row r="1" spans="1:13" ht="15" thickBot="1" x14ac:dyDescent="0.35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ht="15" thickBot="1" x14ac:dyDescent="0.35">
      <c r="A2" s="18"/>
      <c r="B2" s="51"/>
      <c r="C2" s="51"/>
      <c r="D2" s="246" t="s">
        <v>0</v>
      </c>
      <c r="E2" s="247" t="str">
        <f>'Cais newydd'!C2</f>
        <v>SRoC CNC f2 2024-25</v>
      </c>
      <c r="F2" s="227"/>
      <c r="G2" s="228"/>
      <c r="H2" s="18"/>
      <c r="I2" s="18"/>
      <c r="J2" s="18"/>
      <c r="K2" s="18"/>
      <c r="L2" s="18"/>
      <c r="M2" s="18"/>
    </row>
    <row r="3" spans="1:13" ht="15" thickBot="1" x14ac:dyDescent="0.35">
      <c r="A3" s="18"/>
      <c r="B3" s="51"/>
      <c r="C3" s="51"/>
      <c r="D3" s="56"/>
      <c r="E3" s="234"/>
      <c r="F3" s="234"/>
      <c r="G3" s="235"/>
      <c r="H3" s="18"/>
      <c r="I3" s="18"/>
      <c r="J3" s="18"/>
      <c r="K3" s="18"/>
      <c r="L3" s="18"/>
      <c r="M3" s="18"/>
    </row>
    <row r="4" spans="1:13" ht="21.9" customHeight="1" thickBot="1" x14ac:dyDescent="0.35">
      <c r="A4" s="18"/>
      <c r="B4" s="52"/>
      <c r="C4" s="51"/>
      <c r="D4" s="407" t="s">
        <v>109</v>
      </c>
      <c r="E4" s="408"/>
      <c r="F4" s="408"/>
      <c r="G4" s="408"/>
      <c r="H4" s="408"/>
      <c r="I4" s="408"/>
      <c r="J4" s="409"/>
      <c r="K4" s="18"/>
      <c r="L4" s="18"/>
      <c r="M4" s="18"/>
    </row>
    <row r="5" spans="1:13" x14ac:dyDescent="0.3">
      <c r="A5" s="18"/>
      <c r="B5" s="51"/>
      <c r="C5" s="51"/>
      <c r="D5" s="17"/>
      <c r="E5" s="56"/>
      <c r="F5" s="66"/>
      <c r="G5" s="420"/>
      <c r="H5" s="420"/>
      <c r="I5" s="18"/>
      <c r="J5" s="20"/>
      <c r="K5" s="18"/>
      <c r="L5" s="18"/>
      <c r="M5" s="18"/>
    </row>
    <row r="6" spans="1:13" x14ac:dyDescent="0.3">
      <c r="A6" s="18"/>
      <c r="B6" s="51"/>
      <c r="C6" s="51"/>
      <c r="D6" s="17"/>
      <c r="E6" s="421" t="s">
        <v>94</v>
      </c>
      <c r="F6" s="422"/>
      <c r="G6" s="423">
        <f>+Cyflwyniad!E9</f>
        <v>0</v>
      </c>
      <c r="H6" s="423"/>
      <c r="I6" s="415"/>
      <c r="J6" s="20"/>
      <c r="K6" s="18"/>
      <c r="L6" s="18"/>
      <c r="M6" s="18"/>
    </row>
    <row r="7" spans="1:13" x14ac:dyDescent="0.3">
      <c r="A7" s="18"/>
      <c r="B7" s="51"/>
      <c r="C7" s="51"/>
      <c r="D7" s="17"/>
      <c r="E7" s="421" t="s">
        <v>95</v>
      </c>
      <c r="F7" s="422"/>
      <c r="G7" s="423">
        <f>+Cyflwyniad!L9</f>
        <v>0</v>
      </c>
      <c r="H7" s="423"/>
      <c r="I7" s="415"/>
      <c r="J7" s="20"/>
      <c r="K7" s="18"/>
      <c r="L7" s="18"/>
      <c r="M7" s="18"/>
    </row>
    <row r="8" spans="1:13" x14ac:dyDescent="0.3">
      <c r="A8" s="18"/>
      <c r="B8" s="51"/>
      <c r="C8" s="51"/>
      <c r="D8" s="17"/>
      <c r="E8" s="56"/>
      <c r="F8" s="56"/>
      <c r="G8" s="39"/>
      <c r="H8" s="18"/>
      <c r="I8" s="415"/>
      <c r="J8" s="20"/>
      <c r="K8" s="18"/>
      <c r="L8" s="18"/>
      <c r="M8" s="18"/>
    </row>
    <row r="9" spans="1:13" ht="15" thickBot="1" x14ac:dyDescent="0.35">
      <c r="A9" s="18"/>
      <c r="B9" s="51"/>
      <c r="C9" s="51"/>
      <c r="D9" s="17"/>
      <c r="E9" s="56"/>
      <c r="F9" s="56"/>
      <c r="G9" s="39"/>
      <c r="H9" s="39"/>
      <c r="I9" s="39"/>
      <c r="J9" s="20"/>
      <c r="K9" s="18"/>
      <c r="L9" s="18"/>
      <c r="M9" s="18"/>
    </row>
    <row r="10" spans="1:13" ht="55.5" customHeight="1" thickBot="1" x14ac:dyDescent="0.35">
      <c r="A10" s="18"/>
      <c r="B10" s="51"/>
      <c r="C10" s="51"/>
      <c r="D10" s="17"/>
      <c r="E10" s="424" t="s">
        <v>110</v>
      </c>
      <c r="F10" s="425"/>
      <c r="G10" s="425"/>
      <c r="H10" s="426"/>
      <c r="I10" s="175"/>
      <c r="J10" s="20"/>
      <c r="K10" s="18"/>
      <c r="L10" s="18"/>
      <c r="M10" s="18"/>
    </row>
    <row r="11" spans="1:13" ht="75" customHeight="1" x14ac:dyDescent="0.3">
      <c r="A11" s="18"/>
      <c r="B11" s="53" t="s">
        <v>111</v>
      </c>
      <c r="C11" s="53" t="s">
        <v>112</v>
      </c>
      <c r="D11" s="47"/>
      <c r="E11" s="180"/>
      <c r="F11" s="290" t="s">
        <v>113</v>
      </c>
      <c r="G11" s="290" t="s">
        <v>114</v>
      </c>
      <c r="H11" s="291" t="s">
        <v>115</v>
      </c>
      <c r="I11" s="176" t="s">
        <v>116</v>
      </c>
      <c r="J11" s="20"/>
      <c r="K11" s="18"/>
      <c r="L11" s="18"/>
      <c r="M11" s="18"/>
    </row>
    <row r="12" spans="1:13" ht="19.5" hidden="1" customHeight="1" x14ac:dyDescent="0.3">
      <c r="A12" s="18"/>
      <c r="B12" s="53"/>
      <c r="C12" s="53"/>
      <c r="D12" s="47"/>
      <c r="E12" s="181"/>
      <c r="F12" s="49" t="str">
        <f>IF(OR(B13="incomplete",B14="incomplete",B15="incomplete",B16="incomplete",B17="incomplete",B18="incomplete",B19="incomplete",B20="incomplete",B21="incomplete",B22="incomplete",B23="incomplete",B24="incomplete",B25="incomplete",B26="incomplete",B27="incomplete",B28="incomplete",B29="incomplete",B30="incomplete",B31="incomplete",B32="incomplete"),"incomplete","complete")</f>
        <v>complete</v>
      </c>
      <c r="G12" s="48"/>
      <c r="H12" s="179" t="str">
        <f>IF(OR(C13="incomplete",C14="incomplete",C15="incomplete",C16="incomplete",C17="incomplete",C18="incomplete",C19="incomplete",C20="incomplete",C21="incomplete",C22="incomplete",C23="incomplete",C24="incomplete",C25="incomplete",C26="incomplete",C27="incomplete",C28="incomplete",C29="incomplete",C30="incomplete",C31="incomplete",C32="incomplete"),"incomplete","complete")</f>
        <v>complete</v>
      </c>
      <c r="I12" s="177"/>
      <c r="J12" s="20"/>
      <c r="K12" s="18"/>
      <c r="L12" s="18"/>
      <c r="M12" s="18"/>
    </row>
    <row r="13" spans="1:13" ht="15.6" x14ac:dyDescent="0.3">
      <c r="A13" s="18"/>
      <c r="B13" s="54" t="str">
        <f>IF(AND(F13="",G13&gt;0),"incomplete","")</f>
        <v/>
      </c>
      <c r="C13" s="54" t="str">
        <f>IF(AND(H13="",G13&gt;0),"incomplete","")</f>
        <v/>
      </c>
      <c r="D13" s="50"/>
      <c r="E13" s="181">
        <v>1</v>
      </c>
      <c r="F13" s="183"/>
      <c r="G13" s="169"/>
      <c r="H13" s="182"/>
      <c r="I13" s="178" t="str">
        <f>IF(G13="MCP","see MCP/SG guidance link on complex and simple applications",IF(G13="SG","see MCP/SG guidance link on complex and simple applications",IF(G13="PartB_MCP_and_or_SG","see MCP/SG guidance link on complex and simple applications",IF(G13="MCP_and_SG","see MCP/SG guidance link on complex and simple applications",""))))</f>
        <v/>
      </c>
      <c r="J13" s="37"/>
      <c r="K13" s="18"/>
      <c r="L13" s="18"/>
      <c r="M13" s="18"/>
    </row>
    <row r="14" spans="1:13" ht="15.6" x14ac:dyDescent="0.3">
      <c r="A14" s="18"/>
      <c r="B14" s="54" t="str">
        <f>IF(AND(F14="",G14&gt;0),"incomplete","")</f>
        <v/>
      </c>
      <c r="C14" s="54" t="str">
        <f t="shared" ref="C14:C32" si="0">IF(AND(H14="",G14&gt;0),"incomplete","")</f>
        <v/>
      </c>
      <c r="D14" s="50"/>
      <c r="E14" s="181">
        <v>2</v>
      </c>
      <c r="F14" s="184"/>
      <c r="G14" s="169"/>
      <c r="H14" s="182"/>
      <c r="I14" s="178" t="str">
        <f t="shared" ref="I14:I32" si="1">IF(G14="MCP","see MCP/SG guidance link on complex and simple applications",IF(G14="SG","see MCP/SG guidance link on complex and simple applications",IF(G14="PartB_MCP_and_or_SG","see MCP/SG guidance link on complex and simple applications",IF(G14="MCP_and_SG","see MCP/SG guidance link on complex and simple applications",""))))</f>
        <v/>
      </c>
      <c r="J14" s="37"/>
      <c r="K14" s="18"/>
      <c r="L14" s="18"/>
      <c r="M14" s="18"/>
    </row>
    <row r="15" spans="1:13" ht="15.6" x14ac:dyDescent="0.3">
      <c r="A15" s="18"/>
      <c r="B15" s="54" t="str">
        <f t="shared" ref="B15:B32" si="2">IF(AND(F15="",G15&gt;0),"incomplete","")</f>
        <v/>
      </c>
      <c r="C15" s="54" t="str">
        <f t="shared" si="0"/>
        <v/>
      </c>
      <c r="D15" s="50"/>
      <c r="E15" s="181">
        <v>3</v>
      </c>
      <c r="F15" s="183"/>
      <c r="G15" s="169"/>
      <c r="H15" s="182"/>
      <c r="I15" s="178" t="str">
        <f>IF(G15="MCP","see MCP/SG guidance J14 on complex and simple applications",IF(G15="SG","see MCP/SG guidance link on complex and simple applications",IF(G15="PartB_MCP_and_or_SG","see MCP/SG guidance link on complex and simple applications",IF(G15="MCP_and_SG","see MCP/SG guidance link on complex and simple applications",""))))</f>
        <v/>
      </c>
      <c r="J15" s="37"/>
      <c r="K15" s="18"/>
      <c r="L15" s="18"/>
      <c r="M15" s="18"/>
    </row>
    <row r="16" spans="1:13" ht="15.6" x14ac:dyDescent="0.3">
      <c r="A16" s="18"/>
      <c r="B16" s="54" t="str">
        <f t="shared" si="2"/>
        <v/>
      </c>
      <c r="C16" s="54" t="str">
        <f t="shared" si="0"/>
        <v/>
      </c>
      <c r="D16" s="50"/>
      <c r="E16" s="181">
        <v>4</v>
      </c>
      <c r="F16" s="183"/>
      <c r="G16" s="169"/>
      <c r="H16" s="182"/>
      <c r="I16" s="178" t="str">
        <f t="shared" si="1"/>
        <v/>
      </c>
      <c r="J16" s="37"/>
      <c r="K16" s="18"/>
      <c r="L16" s="18"/>
      <c r="M16" s="18"/>
    </row>
    <row r="17" spans="1:13" ht="15.6" x14ac:dyDescent="0.3">
      <c r="A17" s="18"/>
      <c r="B17" s="54" t="str">
        <f t="shared" si="2"/>
        <v/>
      </c>
      <c r="C17" s="54" t="str">
        <f t="shared" si="0"/>
        <v/>
      </c>
      <c r="D17" s="50"/>
      <c r="E17" s="181">
        <v>5</v>
      </c>
      <c r="F17" s="183"/>
      <c r="G17" s="169"/>
      <c r="H17" s="182"/>
      <c r="I17" s="178" t="str">
        <f t="shared" si="1"/>
        <v/>
      </c>
      <c r="J17" s="37"/>
      <c r="K17" s="18"/>
      <c r="L17" s="18"/>
      <c r="M17" s="18"/>
    </row>
    <row r="18" spans="1:13" ht="15.6" x14ac:dyDescent="0.3">
      <c r="A18" s="18"/>
      <c r="B18" s="54" t="str">
        <f t="shared" si="2"/>
        <v/>
      </c>
      <c r="C18" s="54" t="str">
        <f t="shared" si="0"/>
        <v/>
      </c>
      <c r="D18" s="50"/>
      <c r="E18" s="181">
        <v>6</v>
      </c>
      <c r="F18" s="183"/>
      <c r="G18" s="169"/>
      <c r="H18" s="182"/>
      <c r="I18" s="178" t="str">
        <f t="shared" si="1"/>
        <v/>
      </c>
      <c r="J18" s="37"/>
      <c r="K18" s="18"/>
      <c r="L18" s="18"/>
      <c r="M18" s="18"/>
    </row>
    <row r="19" spans="1:13" ht="15.6" x14ac:dyDescent="0.3">
      <c r="A19" s="18"/>
      <c r="B19" s="54" t="str">
        <f t="shared" si="2"/>
        <v/>
      </c>
      <c r="C19" s="54" t="str">
        <f t="shared" si="0"/>
        <v/>
      </c>
      <c r="D19" s="50"/>
      <c r="E19" s="181">
        <v>7</v>
      </c>
      <c r="F19" s="183"/>
      <c r="G19" s="169"/>
      <c r="H19" s="182"/>
      <c r="I19" s="178" t="str">
        <f t="shared" si="1"/>
        <v/>
      </c>
      <c r="J19" s="37"/>
      <c r="K19" s="18"/>
      <c r="L19" s="18"/>
      <c r="M19" s="18"/>
    </row>
    <row r="20" spans="1:13" ht="15.6" x14ac:dyDescent="0.3">
      <c r="A20" s="18"/>
      <c r="B20" s="54" t="str">
        <f t="shared" si="2"/>
        <v/>
      </c>
      <c r="C20" s="54" t="str">
        <f t="shared" si="0"/>
        <v/>
      </c>
      <c r="D20" s="50"/>
      <c r="E20" s="181">
        <v>8</v>
      </c>
      <c r="F20" s="183"/>
      <c r="G20" s="169"/>
      <c r="H20" s="182"/>
      <c r="I20" s="178" t="str">
        <f t="shared" si="1"/>
        <v/>
      </c>
      <c r="J20" s="37"/>
      <c r="K20" s="18"/>
      <c r="L20" s="18"/>
      <c r="M20" s="18"/>
    </row>
    <row r="21" spans="1:13" ht="15.6" x14ac:dyDescent="0.3">
      <c r="A21" s="18"/>
      <c r="B21" s="54" t="str">
        <f>IF(AND(F21="",G21&gt;0),"incomplete","")</f>
        <v/>
      </c>
      <c r="C21" s="54" t="str">
        <f t="shared" si="0"/>
        <v/>
      </c>
      <c r="D21" s="50"/>
      <c r="E21" s="181">
        <v>9</v>
      </c>
      <c r="F21" s="183"/>
      <c r="G21" s="169"/>
      <c r="H21" s="182"/>
      <c r="I21" s="178" t="str">
        <f t="shared" si="1"/>
        <v/>
      </c>
      <c r="J21" s="37"/>
      <c r="K21" s="18"/>
      <c r="L21" s="18"/>
      <c r="M21" s="18"/>
    </row>
    <row r="22" spans="1:13" ht="15.6" x14ac:dyDescent="0.3">
      <c r="A22" s="18"/>
      <c r="B22" s="54" t="str">
        <f t="shared" si="2"/>
        <v/>
      </c>
      <c r="C22" s="54" t="str">
        <f t="shared" si="0"/>
        <v/>
      </c>
      <c r="D22" s="50"/>
      <c r="E22" s="181">
        <v>10</v>
      </c>
      <c r="F22" s="183"/>
      <c r="G22" s="169"/>
      <c r="H22" s="182"/>
      <c r="I22" s="178" t="str">
        <f t="shared" si="1"/>
        <v/>
      </c>
      <c r="J22" s="37"/>
      <c r="K22" s="18"/>
      <c r="L22" s="18"/>
      <c r="M22" s="18"/>
    </row>
    <row r="23" spans="1:13" ht="15.6" x14ac:dyDescent="0.3">
      <c r="A23" s="18"/>
      <c r="B23" s="54" t="str">
        <f t="shared" si="2"/>
        <v/>
      </c>
      <c r="C23" s="54" t="str">
        <f t="shared" si="0"/>
        <v/>
      </c>
      <c r="D23" s="50"/>
      <c r="E23" s="181">
        <v>11</v>
      </c>
      <c r="F23" s="183"/>
      <c r="G23" s="169"/>
      <c r="H23" s="182"/>
      <c r="I23" s="178" t="str">
        <f t="shared" si="1"/>
        <v/>
      </c>
      <c r="J23" s="37"/>
      <c r="K23" s="18"/>
      <c r="L23" s="18"/>
      <c r="M23" s="18"/>
    </row>
    <row r="24" spans="1:13" ht="15.6" x14ac:dyDescent="0.3">
      <c r="A24" s="18"/>
      <c r="B24" s="54" t="str">
        <f t="shared" si="2"/>
        <v/>
      </c>
      <c r="C24" s="54" t="str">
        <f t="shared" si="0"/>
        <v/>
      </c>
      <c r="D24" s="50"/>
      <c r="E24" s="181">
        <v>12</v>
      </c>
      <c r="F24" s="183"/>
      <c r="G24" s="169"/>
      <c r="H24" s="182"/>
      <c r="I24" s="178" t="str">
        <f t="shared" si="1"/>
        <v/>
      </c>
      <c r="J24" s="37"/>
      <c r="K24" s="18"/>
      <c r="L24" s="18"/>
      <c r="M24" s="18"/>
    </row>
    <row r="25" spans="1:13" ht="15.6" x14ac:dyDescent="0.3">
      <c r="A25" s="18"/>
      <c r="B25" s="54" t="str">
        <f t="shared" si="2"/>
        <v/>
      </c>
      <c r="C25" s="54" t="str">
        <f t="shared" si="0"/>
        <v/>
      </c>
      <c r="D25" s="50"/>
      <c r="E25" s="181">
        <v>13</v>
      </c>
      <c r="F25" s="183"/>
      <c r="G25" s="169"/>
      <c r="H25" s="182"/>
      <c r="I25" s="178" t="str">
        <f t="shared" si="1"/>
        <v/>
      </c>
      <c r="J25" s="37"/>
      <c r="K25" s="18"/>
      <c r="L25" s="18"/>
      <c r="M25" s="18"/>
    </row>
    <row r="26" spans="1:13" ht="15.6" x14ac:dyDescent="0.3">
      <c r="A26" s="18"/>
      <c r="B26" s="54" t="str">
        <f t="shared" si="2"/>
        <v/>
      </c>
      <c r="C26" s="54" t="str">
        <f t="shared" si="0"/>
        <v/>
      </c>
      <c r="D26" s="50"/>
      <c r="E26" s="181">
        <v>14</v>
      </c>
      <c r="F26" s="183"/>
      <c r="G26" s="169"/>
      <c r="H26" s="182"/>
      <c r="I26" s="178" t="str">
        <f t="shared" si="1"/>
        <v/>
      </c>
      <c r="J26" s="37"/>
      <c r="K26" s="18"/>
      <c r="L26" s="18"/>
      <c r="M26" s="18"/>
    </row>
    <row r="27" spans="1:13" ht="15.6" x14ac:dyDescent="0.3">
      <c r="A27" s="18"/>
      <c r="B27" s="54" t="str">
        <f t="shared" si="2"/>
        <v/>
      </c>
      <c r="C27" s="54" t="str">
        <f t="shared" si="0"/>
        <v/>
      </c>
      <c r="D27" s="50"/>
      <c r="E27" s="181">
        <v>15</v>
      </c>
      <c r="F27" s="183"/>
      <c r="G27" s="169"/>
      <c r="H27" s="182"/>
      <c r="I27" s="178" t="str">
        <f t="shared" si="1"/>
        <v/>
      </c>
      <c r="J27" s="37"/>
      <c r="K27" s="18"/>
      <c r="L27" s="18"/>
      <c r="M27" s="18"/>
    </row>
    <row r="28" spans="1:13" ht="15.6" x14ac:dyDescent="0.3">
      <c r="A28" s="18"/>
      <c r="B28" s="54" t="str">
        <f t="shared" si="2"/>
        <v/>
      </c>
      <c r="C28" s="54" t="str">
        <f t="shared" si="0"/>
        <v/>
      </c>
      <c r="D28" s="50"/>
      <c r="E28" s="181">
        <v>16</v>
      </c>
      <c r="F28" s="183"/>
      <c r="G28" s="169"/>
      <c r="H28" s="182"/>
      <c r="I28" s="178" t="str">
        <f t="shared" si="1"/>
        <v/>
      </c>
      <c r="J28" s="37"/>
      <c r="K28" s="18"/>
      <c r="L28" s="18"/>
      <c r="M28" s="18"/>
    </row>
    <row r="29" spans="1:13" ht="15.6" x14ac:dyDescent="0.3">
      <c r="A29" s="18"/>
      <c r="B29" s="54" t="str">
        <f t="shared" si="2"/>
        <v/>
      </c>
      <c r="C29" s="54" t="str">
        <f t="shared" si="0"/>
        <v/>
      </c>
      <c r="D29" s="50"/>
      <c r="E29" s="181">
        <v>17</v>
      </c>
      <c r="F29" s="183"/>
      <c r="G29" s="169"/>
      <c r="H29" s="182"/>
      <c r="I29" s="178" t="str">
        <f t="shared" si="1"/>
        <v/>
      </c>
      <c r="J29" s="37"/>
      <c r="K29" s="18"/>
      <c r="L29" s="18"/>
      <c r="M29" s="18"/>
    </row>
    <row r="30" spans="1:13" ht="15.6" x14ac:dyDescent="0.3">
      <c r="A30" s="18"/>
      <c r="B30" s="54" t="str">
        <f t="shared" si="2"/>
        <v/>
      </c>
      <c r="C30" s="54" t="str">
        <f t="shared" si="0"/>
        <v/>
      </c>
      <c r="D30" s="50"/>
      <c r="E30" s="181">
        <v>18</v>
      </c>
      <c r="F30" s="183"/>
      <c r="G30" s="169"/>
      <c r="H30" s="182"/>
      <c r="I30" s="178" t="str">
        <f t="shared" si="1"/>
        <v/>
      </c>
      <c r="J30" s="37"/>
      <c r="K30" s="18"/>
      <c r="L30" s="18"/>
      <c r="M30" s="18"/>
    </row>
    <row r="31" spans="1:13" ht="15.6" x14ac:dyDescent="0.3">
      <c r="A31" s="18"/>
      <c r="B31" s="54" t="str">
        <f t="shared" si="2"/>
        <v/>
      </c>
      <c r="C31" s="54" t="str">
        <f t="shared" si="0"/>
        <v/>
      </c>
      <c r="D31" s="50"/>
      <c r="E31" s="181">
        <v>19</v>
      </c>
      <c r="F31" s="183"/>
      <c r="G31" s="169"/>
      <c r="H31" s="182"/>
      <c r="I31" s="178" t="str">
        <f t="shared" si="1"/>
        <v/>
      </c>
      <c r="J31" s="37"/>
      <c r="K31" s="18"/>
      <c r="L31" s="18"/>
      <c r="M31" s="18"/>
    </row>
    <row r="32" spans="1:13" ht="15.6" x14ac:dyDescent="0.3">
      <c r="A32" s="18"/>
      <c r="B32" s="54" t="str">
        <f t="shared" si="2"/>
        <v/>
      </c>
      <c r="C32" s="54" t="str">
        <f t="shared" si="0"/>
        <v/>
      </c>
      <c r="D32" s="50"/>
      <c r="E32" s="181">
        <v>20</v>
      </c>
      <c r="F32" s="183"/>
      <c r="G32" s="169"/>
      <c r="H32" s="182"/>
      <c r="I32" s="178" t="str">
        <f t="shared" si="1"/>
        <v/>
      </c>
      <c r="J32" s="37"/>
      <c r="K32" s="18"/>
      <c r="L32" s="18"/>
      <c r="M32" s="18"/>
    </row>
    <row r="33" spans="1:13" x14ac:dyDescent="0.3">
      <c r="A33" s="18"/>
      <c r="B33" s="51"/>
      <c r="C33" s="51"/>
      <c r="D33" s="17"/>
      <c r="E33" s="56"/>
      <c r="F33" s="40"/>
      <c r="G33" s="40"/>
      <c r="H33" s="18"/>
      <c r="I33" s="41"/>
      <c r="J33" s="37"/>
      <c r="K33" s="18"/>
      <c r="L33" s="18"/>
      <c r="M33" s="18"/>
    </row>
    <row r="34" spans="1:13" x14ac:dyDescent="0.3">
      <c r="A34" s="18"/>
      <c r="B34" s="51"/>
      <c r="C34" s="51"/>
      <c r="D34" s="17"/>
      <c r="E34" s="56"/>
      <c r="F34" s="392"/>
      <c r="G34" s="392"/>
      <c r="H34" s="18"/>
      <c r="I34" s="41"/>
      <c r="J34" s="37"/>
      <c r="K34" s="18"/>
      <c r="L34" s="18"/>
      <c r="M34" s="18"/>
    </row>
    <row r="35" spans="1:13" ht="15" thickBot="1" x14ac:dyDescent="0.35">
      <c r="A35" s="18"/>
      <c r="B35" s="51"/>
      <c r="C35" s="55"/>
      <c r="D35" s="24"/>
      <c r="E35" s="38"/>
      <c r="F35" s="36"/>
      <c r="G35" s="25"/>
      <c r="H35" s="25"/>
      <c r="I35" s="25"/>
      <c r="J35" s="27"/>
      <c r="K35" s="18"/>
      <c r="L35" s="18"/>
      <c r="M35" s="18"/>
    </row>
  </sheetData>
  <sheetProtection algorithmName="SHA-512" hashValue="FpvYEF6NcFw7PdlfQDDNpn+gcHEUJAouFs8F/Ki1c9NX29fRf63f/wxdY9t+GPi+6h0DL+aIld2DI1A4zUnQ+Q==" saltValue="NLmD+py/2cqu2HoN6LTTww==" spinCount="100000" sheet="1" objects="1" scenarios="1"/>
  <mergeCells count="9">
    <mergeCell ref="D4:J4"/>
    <mergeCell ref="F34:G34"/>
    <mergeCell ref="G5:H5"/>
    <mergeCell ref="E6:F6"/>
    <mergeCell ref="G6:H6"/>
    <mergeCell ref="I6:I8"/>
    <mergeCell ref="E7:F7"/>
    <mergeCell ref="G7:H7"/>
    <mergeCell ref="E10:H10"/>
  </mergeCells>
  <conditionalFormatting sqref="I13:I32">
    <cfRule type="notContainsBlanks" dxfId="29" priority="2">
      <formula>LEN(TRIM(I13))&gt;0</formula>
    </cfRule>
  </conditionalFormatting>
  <dataValidations count="4">
    <dataValidation allowBlank="1" sqref="I35" xr:uid="{00000000-0002-0000-0300-000000000000}"/>
    <dataValidation allowBlank="1" errorTitle="Select From List" prompt="Select from List" sqref="G33:H34 I13:I34" xr:uid="{00000000-0002-0000-0300-000001000000}"/>
    <dataValidation type="list" allowBlank="1" errorTitle="Select From List" prompt="Select from List" sqref="H14:H32 H13" xr:uid="{00000000-0002-0000-0300-000002000000}">
      <formula1>INDIRECT(G13)</formula1>
    </dataValidation>
    <dataValidation type="list" allowBlank="1" errorTitle="Select From List" prompt="Select from List" sqref="G13:G32" xr:uid="{00000000-0002-0000-0300-000003000000}">
      <formula1>category</formula1>
    </dataValidation>
  </dataValidations>
  <pageMargins left="0.7" right="0.7" top="0.75" bottom="0.75" header="0.3" footer="0.3"/>
  <pageSetup paperSize="9" orientation="portrait" horizontalDpi="203" verticalDpi="20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86494-496C-4F9F-9385-C547C459841D}">
  <sheetPr>
    <tabColor theme="5" tint="0.39997558519241921"/>
  </sheetPr>
  <dimension ref="A1:AB70"/>
  <sheetViews>
    <sheetView topLeftCell="A26" workbookViewId="0">
      <selection activeCell="N32" sqref="N32"/>
    </sheetView>
  </sheetViews>
  <sheetFormatPr defaultRowHeight="14.4" x14ac:dyDescent="0.3"/>
  <cols>
    <col min="1" max="3" width="14.6640625" customWidth="1"/>
    <col min="4" max="4" width="5.88671875" customWidth="1"/>
    <col min="5" max="5" width="64.33203125" customWidth="1"/>
    <col min="6" max="6" width="13" customWidth="1"/>
    <col min="7" max="7" width="21.5546875" hidden="1" customWidth="1"/>
    <col min="8" max="8" width="15.6640625" hidden="1" customWidth="1"/>
    <col min="9" max="9" width="14" customWidth="1"/>
    <col min="10" max="10" width="10.6640625" customWidth="1"/>
    <col min="11" max="11" width="9.109375" hidden="1" customWidth="1"/>
    <col min="12" max="12" width="3.88671875" customWidth="1"/>
    <col min="13" max="13" width="11.88671875" customWidth="1"/>
    <col min="14" max="14" width="12.44140625" customWidth="1"/>
    <col min="15" max="17" width="9.109375" customWidth="1"/>
    <col min="18" max="19" width="9.109375" hidden="1" customWidth="1"/>
    <col min="20" max="28" width="9.109375" customWidth="1"/>
  </cols>
  <sheetData>
    <row r="1" spans="1:21" ht="18.600000000000001" thickBot="1" x14ac:dyDescent="0.4">
      <c r="A1" s="18"/>
      <c r="B1" s="18"/>
      <c r="C1" s="65"/>
      <c r="D1" s="65"/>
      <c r="E1" s="25"/>
      <c r="F1" s="25"/>
      <c r="G1" s="64"/>
      <c r="H1" s="64"/>
      <c r="I1" s="25"/>
      <c r="J1" s="18"/>
      <c r="K1" s="45"/>
      <c r="L1" s="18"/>
      <c r="M1" s="18"/>
      <c r="N1" s="18"/>
      <c r="O1" s="18"/>
      <c r="P1" s="18"/>
      <c r="Q1" s="18"/>
      <c r="R1" s="45"/>
      <c r="S1" s="46"/>
      <c r="T1" s="18"/>
      <c r="U1" s="18"/>
    </row>
    <row r="2" spans="1:21" ht="15" thickBot="1" x14ac:dyDescent="0.35">
      <c r="A2" s="18"/>
      <c r="B2" s="246" t="s">
        <v>0</v>
      </c>
      <c r="C2" s="247" t="s">
        <v>117</v>
      </c>
      <c r="D2" s="227"/>
      <c r="E2" s="228"/>
      <c r="F2" s="18"/>
      <c r="G2" s="18"/>
      <c r="H2" s="18"/>
      <c r="I2" s="18"/>
      <c r="J2" s="15"/>
      <c r="K2" s="105"/>
      <c r="L2" s="15"/>
      <c r="M2" s="15"/>
      <c r="N2" s="15"/>
      <c r="O2" s="15"/>
      <c r="P2" s="15"/>
      <c r="Q2" s="15"/>
      <c r="R2" s="105"/>
      <c r="S2" s="106"/>
      <c r="T2" s="19"/>
      <c r="U2" s="18"/>
    </row>
    <row r="3" spans="1:21" ht="15" thickBot="1" x14ac:dyDescent="0.35">
      <c r="A3" s="18"/>
      <c r="B3" s="236"/>
      <c r="C3" s="227"/>
      <c r="D3" s="227"/>
      <c r="E3" s="237"/>
      <c r="F3" s="18"/>
      <c r="G3" s="18"/>
      <c r="H3" s="18"/>
      <c r="I3" s="18"/>
      <c r="J3" s="18"/>
      <c r="K3" s="45"/>
      <c r="L3" s="18"/>
      <c r="M3" s="18"/>
      <c r="N3" s="18"/>
      <c r="O3" s="18"/>
      <c r="P3" s="18"/>
      <c r="Q3" s="18"/>
      <c r="R3" s="45"/>
      <c r="S3" s="46"/>
      <c r="T3" s="20"/>
      <c r="U3" s="18"/>
    </row>
    <row r="4" spans="1:21" ht="26.1" customHeight="1" thickBot="1" x14ac:dyDescent="0.35">
      <c r="A4" s="18"/>
      <c r="B4" s="17"/>
      <c r="C4" s="447" t="s">
        <v>118</v>
      </c>
      <c r="D4" s="448"/>
      <c r="E4" s="448"/>
      <c r="F4" s="448"/>
      <c r="G4" s="448"/>
      <c r="H4" s="448"/>
      <c r="I4" s="449"/>
      <c r="J4" s="18"/>
      <c r="K4" s="45"/>
      <c r="L4" s="18"/>
      <c r="M4" s="18"/>
      <c r="N4" s="18"/>
      <c r="O4" s="18"/>
      <c r="P4" s="18"/>
      <c r="Q4" s="18"/>
      <c r="R4" s="45"/>
      <c r="S4" s="46"/>
      <c r="T4" s="20"/>
      <c r="U4" s="18"/>
    </row>
    <row r="5" spans="1:21" ht="18" x14ac:dyDescent="0.35">
      <c r="A5" s="18"/>
      <c r="B5" s="17"/>
      <c r="C5" s="107"/>
      <c r="D5" s="107"/>
      <c r="E5" s="107"/>
      <c r="F5" s="107"/>
      <c r="G5" s="107"/>
      <c r="H5" s="107"/>
      <c r="I5" s="107"/>
      <c r="J5" s="18"/>
      <c r="K5" s="45"/>
      <c r="L5" s="18"/>
      <c r="M5" s="18"/>
      <c r="N5" s="18"/>
      <c r="O5" s="18"/>
      <c r="P5" s="18"/>
      <c r="Q5" s="18"/>
      <c r="R5" s="45"/>
      <c r="S5" s="46"/>
      <c r="T5" s="20"/>
      <c r="U5" s="18"/>
    </row>
    <row r="6" spans="1:21" ht="18" x14ac:dyDescent="0.35">
      <c r="A6" s="18"/>
      <c r="B6" s="17"/>
      <c r="C6" s="421" t="s">
        <v>94</v>
      </c>
      <c r="D6" s="422"/>
      <c r="E6" s="423">
        <f>+Cyflwyniad!E9</f>
        <v>0</v>
      </c>
      <c r="F6" s="423"/>
      <c r="G6" s="107"/>
      <c r="H6" s="107"/>
      <c r="I6" s="107"/>
      <c r="J6" s="18"/>
      <c r="K6" s="45"/>
      <c r="L6" s="18"/>
      <c r="M6" s="18"/>
      <c r="N6" s="18"/>
      <c r="O6" s="18"/>
      <c r="P6" s="18"/>
      <c r="Q6" s="18"/>
      <c r="R6" s="45"/>
      <c r="S6" s="46"/>
      <c r="T6" s="20"/>
      <c r="U6" s="18"/>
    </row>
    <row r="7" spans="1:21" ht="18" x14ac:dyDescent="0.35">
      <c r="A7" s="18"/>
      <c r="B7" s="17"/>
      <c r="C7" s="421" t="s">
        <v>95</v>
      </c>
      <c r="D7" s="422"/>
      <c r="E7" s="423">
        <f>+Cyflwyniad!L9</f>
        <v>0</v>
      </c>
      <c r="F7" s="423"/>
      <c r="G7" s="107"/>
      <c r="H7" s="107"/>
      <c r="I7" s="107"/>
      <c r="J7" s="18"/>
      <c r="K7" s="45"/>
      <c r="L7" s="18"/>
      <c r="M7" s="18"/>
      <c r="N7" s="18"/>
      <c r="O7" s="18"/>
      <c r="P7" s="18"/>
      <c r="Q7" s="18"/>
      <c r="R7" s="427" t="s">
        <v>119</v>
      </c>
      <c r="S7" s="46"/>
      <c r="T7" s="20"/>
      <c r="U7" s="18"/>
    </row>
    <row r="8" spans="1:21" ht="21.75" customHeight="1" x14ac:dyDescent="0.35">
      <c r="A8" s="18"/>
      <c r="B8" s="17"/>
      <c r="C8" s="465"/>
      <c r="D8" s="465"/>
      <c r="E8" s="465"/>
      <c r="F8" s="18"/>
      <c r="G8" s="45"/>
      <c r="H8" s="45"/>
      <c r="I8" s="18"/>
      <c r="J8" s="18"/>
      <c r="K8" s="45"/>
      <c r="L8" s="18"/>
      <c r="M8" s="18"/>
      <c r="N8" s="18"/>
      <c r="O8" s="18"/>
      <c r="P8" s="18"/>
      <c r="Q8" s="18"/>
      <c r="R8" s="428"/>
      <c r="S8" s="46"/>
      <c r="T8" s="20"/>
      <c r="U8" s="18"/>
    </row>
    <row r="9" spans="1:21" ht="40.5" customHeight="1" x14ac:dyDescent="0.3">
      <c r="A9" s="18"/>
      <c r="B9" s="17"/>
      <c r="C9" s="467" t="s">
        <v>120</v>
      </c>
      <c r="D9" s="450" t="s">
        <v>121</v>
      </c>
      <c r="E9" s="451"/>
      <c r="F9" s="451"/>
      <c r="G9" s="451"/>
      <c r="H9" s="451"/>
      <c r="I9" s="452"/>
      <c r="J9" s="18"/>
      <c r="K9" s="45"/>
      <c r="L9" s="18"/>
      <c r="M9" s="18"/>
      <c r="N9" s="18"/>
      <c r="O9" s="18"/>
      <c r="P9" s="18"/>
      <c r="Q9" s="18"/>
      <c r="R9" s="45">
        <v>5</v>
      </c>
      <c r="S9" s="108"/>
      <c r="T9" s="20"/>
      <c r="U9" s="18"/>
    </row>
    <row r="10" spans="1:21" ht="27" customHeight="1" x14ac:dyDescent="0.3">
      <c r="A10" s="418"/>
      <c r="B10" s="109"/>
      <c r="C10" s="464"/>
      <c r="D10" s="190">
        <v>1</v>
      </c>
      <c r="E10" s="293" t="s">
        <v>122</v>
      </c>
      <c r="F10" s="110"/>
      <c r="G10" s="111"/>
      <c r="H10" s="111"/>
      <c r="I10" s="112">
        <f>COUNTIF('Gweithgareddau rhestredig'!E10:E34,"*Part*")</f>
        <v>0</v>
      </c>
      <c r="J10" s="18"/>
      <c r="K10" s="45">
        <f>IF(I10=1,1,IF(I10=2,2,3))</f>
        <v>3</v>
      </c>
      <c r="L10" s="18"/>
      <c r="M10" s="18"/>
      <c r="N10" s="18"/>
      <c r="O10" s="18"/>
      <c r="P10" s="18"/>
      <c r="Q10" s="18"/>
      <c r="R10" s="45">
        <v>8</v>
      </c>
      <c r="S10" s="45"/>
      <c r="T10" s="20"/>
      <c r="U10" s="113"/>
    </row>
    <row r="11" spans="1:21" ht="28.5" customHeight="1" x14ac:dyDescent="0.3">
      <c r="A11" s="418"/>
      <c r="B11" s="109"/>
      <c r="C11" s="464"/>
      <c r="D11" s="190">
        <v>2</v>
      </c>
      <c r="E11" s="293" t="s">
        <v>123</v>
      </c>
      <c r="F11" s="18"/>
      <c r="G11" s="114">
        <f t="array" ref="G11">SUMPRODUCT((('Gweithgareddau rhestredig'!L10:L34&lt;&gt;"")/COUNTIF('Gweithgareddau rhestredig'!L10:L34,'Gweithgareddau rhestredig'!L10:L34&amp;"")))+G33</f>
        <v>0</v>
      </c>
      <c r="H11" s="45"/>
      <c r="I11" s="112">
        <f>G11</f>
        <v>0</v>
      </c>
      <c r="J11" s="18"/>
      <c r="K11" s="45">
        <f>IF(I11=0,0,IF(I11=1,1,IF(I11=2,2,3)))</f>
        <v>0</v>
      </c>
      <c r="L11" s="18"/>
      <c r="M11" s="18"/>
      <c r="N11" s="18"/>
      <c r="O11" s="18"/>
      <c r="P11" s="18"/>
      <c r="Q11" s="18"/>
      <c r="R11" s="45">
        <v>12</v>
      </c>
      <c r="S11" s="45"/>
      <c r="T11" s="20"/>
      <c r="U11" s="113"/>
    </row>
    <row r="12" spans="1:21" ht="27.75" customHeight="1" x14ac:dyDescent="0.3">
      <c r="A12" s="418"/>
      <c r="B12" s="109"/>
      <c r="C12" s="464"/>
      <c r="D12" s="191">
        <v>3</v>
      </c>
      <c r="E12" s="293" t="s">
        <v>124</v>
      </c>
      <c r="F12" s="115"/>
      <c r="G12" s="45"/>
      <c r="H12" s="116"/>
      <c r="I12" s="112">
        <f>_xlfn.MAXIFS('Gweithgareddau rhestredig'!S10:S34,'Gweithgareddau rhestredig'!S10:S34,"&lt;&gt;")</f>
        <v>0</v>
      </c>
      <c r="J12" s="18"/>
      <c r="K12" s="45">
        <f>IF(I12&lt;3,1,(IF(I12&gt;5,3,2)))</f>
        <v>1</v>
      </c>
      <c r="L12" s="18"/>
      <c r="M12" s="18"/>
      <c r="N12" s="18"/>
      <c r="O12" s="18"/>
      <c r="P12" s="18"/>
      <c r="Q12" s="18"/>
      <c r="R12" s="45"/>
      <c r="S12" s="45"/>
      <c r="T12" s="20"/>
      <c r="U12" s="113"/>
    </row>
    <row r="13" spans="1:21" ht="12" customHeight="1" x14ac:dyDescent="0.3">
      <c r="A13" s="18"/>
      <c r="B13" s="17"/>
      <c r="C13" s="464"/>
      <c r="D13" s="18"/>
      <c r="E13" s="18"/>
      <c r="F13" s="18"/>
      <c r="G13" s="45"/>
      <c r="H13" s="45"/>
      <c r="I13" s="18"/>
      <c r="J13" s="18"/>
      <c r="K13" s="45"/>
      <c r="L13" s="18"/>
      <c r="M13" s="18"/>
      <c r="N13" s="18"/>
      <c r="O13" s="18"/>
      <c r="P13" s="18"/>
      <c r="Q13" s="18"/>
      <c r="R13" s="45"/>
      <c r="S13" s="46"/>
      <c r="T13" s="20"/>
      <c r="U13" s="18"/>
    </row>
    <row r="14" spans="1:21" ht="29.25" customHeight="1" x14ac:dyDescent="0.3">
      <c r="A14" s="18"/>
      <c r="B14" s="17"/>
      <c r="C14" s="464"/>
      <c r="D14" s="192">
        <v>4</v>
      </c>
      <c r="E14" s="294" t="s">
        <v>125</v>
      </c>
      <c r="F14" s="110"/>
      <c r="G14" s="45">
        <f>COUNTIF('Gweithgareddau rhestredig'!N10:N34,"yes")</f>
        <v>0</v>
      </c>
      <c r="H14" s="46"/>
      <c r="I14" s="112" t="str">
        <f>IF(G14&gt;0,"Ie","Na")</f>
        <v>Na</v>
      </c>
      <c r="J14" s="18"/>
      <c r="K14" s="45"/>
      <c r="L14" s="18"/>
      <c r="M14" s="18"/>
      <c r="N14" s="113"/>
      <c r="O14" s="18"/>
      <c r="P14" s="18"/>
      <c r="Q14" s="18"/>
      <c r="R14" s="431" t="s">
        <v>126</v>
      </c>
      <c r="S14" s="432"/>
      <c r="T14" s="20"/>
      <c r="U14" s="18"/>
    </row>
    <row r="15" spans="1:21" ht="34.5" customHeight="1" x14ac:dyDescent="0.3">
      <c r="A15" s="18"/>
      <c r="B15" s="17"/>
      <c r="C15" s="464"/>
      <c r="D15" s="192">
        <v>5</v>
      </c>
      <c r="E15" s="294" t="s">
        <v>127</v>
      </c>
      <c r="F15" s="115"/>
      <c r="G15" s="45">
        <f>COUNTIF('Gweithgareddau rhestredig'!K10:K34,0)</f>
        <v>0</v>
      </c>
      <c r="H15" s="45"/>
      <c r="I15" s="122" t="str">
        <f>IF(G15&gt;0,"Ie","Na")</f>
        <v>Na</v>
      </c>
      <c r="J15" s="18"/>
      <c r="K15" s="45"/>
      <c r="L15" s="18"/>
      <c r="M15" s="18"/>
      <c r="N15" s="18"/>
      <c r="O15" s="113"/>
      <c r="P15" s="113"/>
      <c r="Q15" s="113"/>
      <c r="R15" s="432"/>
      <c r="S15" s="432"/>
      <c r="T15" s="20"/>
      <c r="U15" s="18"/>
    </row>
    <row r="16" spans="1:21" ht="13.5" customHeight="1" x14ac:dyDescent="0.3">
      <c r="A16" s="18"/>
      <c r="B16" s="17"/>
      <c r="C16" s="18"/>
      <c r="D16" s="18"/>
      <c r="E16" s="80"/>
      <c r="F16" s="18"/>
      <c r="G16" s="45"/>
      <c r="H16" s="45"/>
      <c r="I16" s="168"/>
      <c r="J16" s="168"/>
      <c r="K16" s="45"/>
      <c r="L16" s="18"/>
      <c r="M16" s="18"/>
      <c r="N16" s="18"/>
      <c r="O16" s="113"/>
      <c r="P16" s="113"/>
      <c r="Q16" s="113"/>
      <c r="R16" s="45"/>
      <c r="S16" s="45"/>
      <c r="T16" s="20"/>
      <c r="U16" s="18"/>
    </row>
    <row r="17" spans="1:28" ht="29.25" customHeight="1" x14ac:dyDescent="0.3">
      <c r="A17" s="18"/>
      <c r="B17" s="17"/>
      <c r="C17" s="18"/>
      <c r="D17" s="18"/>
      <c r="E17" s="80" t="str">
        <f>IF(H17="incomplete","Gwiriwch eich bod wedi cwblhau'r disgrifiad o'ch gweithgareddau ar y daflen Gweithgaredd Rhestredig","")</f>
        <v/>
      </c>
      <c r="F17" s="18"/>
      <c r="G17" s="295" t="s">
        <v>128</v>
      </c>
      <c r="H17" s="45" t="str">
        <f>+'Gweithgareddau rhestredig'!P8</f>
        <v>complete</v>
      </c>
      <c r="I17" s="18"/>
      <c r="J17" s="18"/>
      <c r="K17" s="18"/>
      <c r="L17" s="18"/>
      <c r="M17" s="18"/>
      <c r="N17" s="18"/>
      <c r="O17" s="113"/>
      <c r="P17" s="113"/>
      <c r="Q17" s="113"/>
      <c r="R17" s="45"/>
      <c r="S17" s="45"/>
      <c r="T17" s="20"/>
      <c r="U17" s="18"/>
    </row>
    <row r="18" spans="1:28" ht="29.25" customHeight="1" x14ac:dyDescent="0.3">
      <c r="A18" s="18"/>
      <c r="B18" s="17"/>
      <c r="C18" s="18"/>
      <c r="D18" s="18"/>
      <c r="E18" s="80" t="str">
        <f>IF(H18="incomplete","Gwiriwch eich bod wedi cwblhau'r cynhwysedd eich safle ar y daflen Gweithgareddau Rhestredig","")</f>
        <v/>
      </c>
      <c r="F18" s="18"/>
      <c r="G18" s="295" t="s">
        <v>129</v>
      </c>
      <c r="H18" s="45" t="str">
        <f>+'Gweithgareddau rhestredig'!R8</f>
        <v>complete</v>
      </c>
      <c r="I18" s="347" t="s">
        <v>130</v>
      </c>
      <c r="J18" s="173" t="str">
        <f>IF(I10=0,"",IF(K18&lt;$R$9,"Band 1",IF(K18&lt;$R$10,"Band 2",IF(K18&lt;$R$11,"Band 3","Band 4"))))</f>
        <v/>
      </c>
      <c r="K18" s="45">
        <f>SUM(K10+K11+K12)</f>
        <v>4</v>
      </c>
      <c r="L18" s="18"/>
      <c r="M18" s="18"/>
      <c r="N18" s="18"/>
      <c r="O18" s="113"/>
      <c r="P18" s="113"/>
      <c r="Q18" s="113"/>
      <c r="R18" s="45"/>
      <c r="S18" s="45"/>
      <c r="T18" s="20"/>
      <c r="U18" s="18"/>
    </row>
    <row r="19" spans="1:28" ht="26.25" customHeight="1" x14ac:dyDescent="0.3">
      <c r="A19" s="18"/>
      <c r="B19" s="17"/>
      <c r="C19" s="18"/>
      <c r="D19" s="18"/>
      <c r="E19" s="80"/>
      <c r="F19" s="18"/>
      <c r="G19" s="45"/>
      <c r="H19" s="45"/>
      <c r="I19" s="18"/>
      <c r="J19" s="18"/>
      <c r="K19" s="45"/>
      <c r="L19" s="18"/>
      <c r="M19" s="18"/>
      <c r="N19" s="18"/>
      <c r="O19" s="18"/>
      <c r="P19" s="18"/>
      <c r="Q19" s="18"/>
      <c r="R19" s="45"/>
      <c r="S19" s="46"/>
      <c r="T19" s="20"/>
      <c r="U19" s="18"/>
    </row>
    <row r="20" spans="1:28" ht="30.75" customHeight="1" x14ac:dyDescent="0.3">
      <c r="A20" s="42"/>
      <c r="B20" s="117"/>
      <c r="C20" s="463" t="s">
        <v>60</v>
      </c>
      <c r="D20" s="464"/>
      <c r="E20" s="466" t="s">
        <v>131</v>
      </c>
      <c r="F20" s="451"/>
      <c r="G20" s="451"/>
      <c r="H20" s="451"/>
      <c r="I20" s="452"/>
      <c r="J20" s="18"/>
      <c r="K20" s="45"/>
      <c r="L20" s="18"/>
      <c r="M20" s="18"/>
      <c r="N20" s="18"/>
      <c r="O20" s="18"/>
      <c r="P20" s="18"/>
      <c r="Q20" s="18"/>
      <c r="R20" s="429" t="s">
        <v>132</v>
      </c>
      <c r="S20" s="430"/>
      <c r="T20" s="20"/>
      <c r="U20" s="18"/>
    </row>
    <row r="21" spans="1:28" ht="12.75" customHeight="1" x14ac:dyDescent="0.3">
      <c r="A21" s="42"/>
      <c r="B21" s="117"/>
      <c r="C21" s="118"/>
      <c r="D21" s="119"/>
      <c r="E21" s="120"/>
      <c r="F21" s="18"/>
      <c r="G21" s="18"/>
      <c r="H21" s="113"/>
      <c r="I21" s="121"/>
      <c r="J21" s="18"/>
      <c r="K21" s="18"/>
      <c r="L21" s="18"/>
      <c r="M21" s="18"/>
      <c r="N21" s="18"/>
      <c r="O21" s="18"/>
      <c r="P21" s="18"/>
      <c r="Q21" s="18"/>
      <c r="R21" s="46"/>
      <c r="S21" s="45"/>
      <c r="T21" s="20"/>
      <c r="U21" s="18"/>
    </row>
    <row r="22" spans="1:28" ht="31.5" customHeight="1" x14ac:dyDescent="0.3">
      <c r="A22" s="42"/>
      <c r="B22" s="117"/>
      <c r="C22" s="467" t="s">
        <v>133</v>
      </c>
      <c r="D22" s="230">
        <v>1</v>
      </c>
      <c r="E22" s="298" t="s">
        <v>134</v>
      </c>
      <c r="F22" s="110"/>
      <c r="G22" s="299" t="s">
        <v>135</v>
      </c>
      <c r="H22" s="111"/>
      <c r="I22" s="102"/>
      <c r="J22" s="18"/>
      <c r="K22" s="45">
        <f>IF(I23=0,0,IF(I23=1,1,IF(I23=2,2,3)))</f>
        <v>0</v>
      </c>
      <c r="L22" s="18"/>
      <c r="M22" s="18"/>
      <c r="N22" s="18"/>
      <c r="O22" s="18"/>
      <c r="P22" s="18"/>
      <c r="Q22" s="18"/>
      <c r="R22" s="434" t="s">
        <v>136</v>
      </c>
      <c r="S22" s="435"/>
      <c r="T22" s="20"/>
      <c r="U22" s="18"/>
      <c r="V22" s="9"/>
      <c r="W22" s="9"/>
      <c r="X22" s="9"/>
      <c r="Y22" s="9"/>
      <c r="Z22" s="9"/>
      <c r="AA22" s="9"/>
      <c r="AB22" s="9"/>
    </row>
    <row r="23" spans="1:28" ht="63.75" customHeight="1" x14ac:dyDescent="0.3">
      <c r="A23" s="42"/>
      <c r="B23" s="117"/>
      <c r="C23" s="468"/>
      <c r="D23" s="231">
        <v>2</v>
      </c>
      <c r="E23" s="123" t="s">
        <v>137</v>
      </c>
      <c r="F23" s="18"/>
      <c r="G23" s="45"/>
      <c r="H23" s="45"/>
      <c r="I23" s="102"/>
      <c r="J23" s="18"/>
      <c r="K23" s="45">
        <f>COUNTIF(I14:I26,"Yes")</f>
        <v>0</v>
      </c>
      <c r="L23" s="18"/>
      <c r="M23" s="18"/>
      <c r="N23" s="18"/>
      <c r="O23" s="18"/>
      <c r="P23" s="18"/>
      <c r="Q23" s="18"/>
      <c r="R23" s="427" t="s">
        <v>138</v>
      </c>
      <c r="S23" s="428"/>
      <c r="T23" s="20"/>
      <c r="U23" s="18"/>
    </row>
    <row r="24" spans="1:28" ht="34.5" customHeight="1" x14ac:dyDescent="0.3">
      <c r="A24" s="42"/>
      <c r="B24" s="117"/>
      <c r="C24" s="468"/>
      <c r="D24" s="232">
        <v>3</v>
      </c>
      <c r="E24" s="300" t="s">
        <v>139</v>
      </c>
      <c r="F24" s="18"/>
      <c r="G24" s="295" t="s">
        <v>135</v>
      </c>
      <c r="H24" s="45"/>
      <c r="I24" s="102"/>
      <c r="J24" s="18"/>
      <c r="K24" s="45">
        <f>SUM(K22+K23)</f>
        <v>0</v>
      </c>
      <c r="L24" s="18"/>
      <c r="M24" s="18"/>
      <c r="N24" s="18"/>
      <c r="O24" s="18"/>
      <c r="P24" s="18"/>
      <c r="Q24" s="18"/>
      <c r="R24" s="436" t="s">
        <v>140</v>
      </c>
      <c r="S24" s="437"/>
      <c r="T24" s="20"/>
      <c r="U24" s="18"/>
    </row>
    <row r="25" spans="1:28" ht="40.5" customHeight="1" x14ac:dyDescent="0.3">
      <c r="A25" s="42"/>
      <c r="B25" s="117"/>
      <c r="C25" s="468"/>
      <c r="D25" s="233">
        <v>4</v>
      </c>
      <c r="E25" s="298" t="s">
        <v>141</v>
      </c>
      <c r="F25" s="18"/>
      <c r="G25" s="295" t="s">
        <v>135</v>
      </c>
      <c r="H25" s="45"/>
      <c r="I25" s="102"/>
      <c r="J25" s="18"/>
      <c r="K25" s="45">
        <f>SUM(K24,K27)</f>
        <v>0</v>
      </c>
      <c r="L25" s="18"/>
      <c r="M25" s="124"/>
      <c r="N25" s="18"/>
      <c r="O25" s="443"/>
      <c r="P25" s="443"/>
      <c r="Q25" s="443"/>
      <c r="R25" s="427" t="s">
        <v>142</v>
      </c>
      <c r="S25" s="428"/>
      <c r="T25" s="20"/>
      <c r="U25" s="18"/>
    </row>
    <row r="26" spans="1:28" ht="35.25" customHeight="1" x14ac:dyDescent="0.3">
      <c r="A26" s="42"/>
      <c r="B26" s="117"/>
      <c r="C26" s="468"/>
      <c r="D26" s="230">
        <v>5</v>
      </c>
      <c r="E26" s="298" t="s">
        <v>143</v>
      </c>
      <c r="F26" s="18"/>
      <c r="G26" s="295" t="s">
        <v>144</v>
      </c>
      <c r="H26" s="46"/>
      <c r="I26" s="102"/>
      <c r="J26" s="18"/>
      <c r="K26" s="45">
        <f>IF(K25=1,1,(IF(K25&gt;1,2,0)))</f>
        <v>0</v>
      </c>
      <c r="L26" s="18"/>
      <c r="M26" s="124"/>
      <c r="N26" s="18"/>
      <c r="O26" s="443"/>
      <c r="P26" s="443"/>
      <c r="Q26" s="443"/>
      <c r="R26" s="427" t="s">
        <v>145</v>
      </c>
      <c r="S26" s="428"/>
      <c r="T26" s="20"/>
      <c r="U26" s="18"/>
    </row>
    <row r="27" spans="1:28" ht="47.25" customHeight="1" x14ac:dyDescent="0.3">
      <c r="A27" s="42"/>
      <c r="B27" s="117"/>
      <c r="C27" s="468"/>
      <c r="D27" s="230">
        <v>6</v>
      </c>
      <c r="E27" s="298" t="s">
        <v>146</v>
      </c>
      <c r="F27" s="115"/>
      <c r="G27" s="301" t="s">
        <v>147</v>
      </c>
      <c r="H27" s="126"/>
      <c r="I27" s="103"/>
      <c r="J27" s="18"/>
      <c r="K27" s="45">
        <f>IF(I27="Yes",-1,0)</f>
        <v>0</v>
      </c>
      <c r="L27" s="18"/>
      <c r="M27" s="18"/>
      <c r="N27" s="124"/>
      <c r="O27" s="18"/>
      <c r="P27" s="18"/>
      <c r="Q27" s="18"/>
      <c r="R27" s="427" t="s">
        <v>148</v>
      </c>
      <c r="S27" s="428"/>
      <c r="T27" s="20"/>
      <c r="U27" s="18"/>
    </row>
    <row r="28" spans="1:28" ht="31.5" customHeight="1" x14ac:dyDescent="0.3">
      <c r="A28" s="42"/>
      <c r="B28" s="117"/>
      <c r="C28" s="118"/>
      <c r="D28" s="119"/>
      <c r="E28" s="80"/>
      <c r="F28" s="18"/>
      <c r="G28" s="45"/>
      <c r="H28" s="45"/>
      <c r="I28" s="18"/>
      <c r="J28" s="18"/>
      <c r="K28" s="45">
        <f>K26</f>
        <v>0</v>
      </c>
      <c r="L28" s="18"/>
      <c r="M28" s="18"/>
      <c r="N28" s="18"/>
      <c r="O28" s="42"/>
      <c r="P28" s="42"/>
      <c r="Q28" s="42"/>
      <c r="R28" s="202"/>
      <c r="S28" s="202"/>
      <c r="T28" s="20"/>
      <c r="U28" s="18"/>
    </row>
    <row r="29" spans="1:28" ht="20.25" customHeight="1" x14ac:dyDescent="0.3">
      <c r="A29" s="42"/>
      <c r="B29" s="117"/>
      <c r="C29" s="118"/>
      <c r="D29" s="119"/>
      <c r="E29" s="80"/>
      <c r="F29" s="18"/>
      <c r="G29" s="45"/>
      <c r="H29" s="45"/>
      <c r="I29" s="18"/>
      <c r="J29" s="18"/>
      <c r="K29" s="45">
        <f>K26+K18</f>
        <v>4</v>
      </c>
      <c r="L29" s="18"/>
      <c r="M29" s="171"/>
      <c r="N29" s="18"/>
      <c r="O29" s="42"/>
      <c r="P29" s="42"/>
      <c r="Q29" s="42"/>
      <c r="R29" s="172" t="str">
        <f>IF(J18="","",IF(AND(J18="Band 1",K28=0),"Band 1",IF(AND(J18="Band 1",K28&gt;0),"Band 2",IF(AND(J18="Band 2",K28&lt;2),"Band 2",IF(AND(J18="Band 2",K28=2),"Band 3",IF(AND(J18="Band 3",K28&lt;2),"Band 3",IF(AND(J18="Band 3",K28=2),"Band 4")))))))</f>
        <v/>
      </c>
      <c r="S29" s="45"/>
      <c r="T29" s="20"/>
      <c r="U29" s="18"/>
    </row>
    <row r="30" spans="1:28" ht="35.25" customHeight="1" x14ac:dyDescent="0.3">
      <c r="A30" s="42"/>
      <c r="B30" s="117"/>
      <c r="C30" s="440" t="s">
        <v>149</v>
      </c>
      <c r="D30" s="125">
        <v>1</v>
      </c>
      <c r="E30" s="298" t="s">
        <v>150</v>
      </c>
      <c r="F30" s="110"/>
      <c r="G30" s="302" t="s">
        <v>151</v>
      </c>
      <c r="H30" s="128"/>
      <c r="I30" s="201"/>
      <c r="J30" s="18"/>
      <c r="K30" s="45"/>
      <c r="L30" s="18"/>
      <c r="M30" s="18"/>
      <c r="N30" s="446" t="str">
        <f>"Bandiau sylfaenol ar gyfer ceisiadau newydd ("&amp;RIGHT(C2,7)&amp;")"</f>
        <v>Bandiau sylfaenol ar gyfer ceisiadau newydd (2024-25)</v>
      </c>
      <c r="O30" s="446"/>
      <c r="P30" s="446"/>
      <c r="Q30" s="446"/>
      <c r="R30" s="45"/>
      <c r="S30" s="45"/>
      <c r="T30" s="20"/>
      <c r="U30" s="18"/>
    </row>
    <row r="31" spans="1:28" ht="16.5" customHeight="1" x14ac:dyDescent="0.3">
      <c r="A31" s="42"/>
      <c r="B31" s="117"/>
      <c r="C31" s="441"/>
      <c r="D31" s="84"/>
      <c r="E31" s="188"/>
      <c r="F31" s="110"/>
      <c r="G31" s="110"/>
      <c r="H31" s="132"/>
      <c r="I31" s="189"/>
      <c r="J31" s="18"/>
      <c r="K31" s="18"/>
      <c r="L31" s="18"/>
      <c r="M31" s="18"/>
      <c r="N31" s="400"/>
      <c r="O31" s="400"/>
      <c r="P31" s="400"/>
      <c r="Q31" s="400"/>
      <c r="R31" s="45"/>
      <c r="S31" s="45"/>
      <c r="T31" s="20"/>
      <c r="U31" s="18"/>
    </row>
    <row r="32" spans="1:28" ht="32.25" customHeight="1" x14ac:dyDescent="0.3">
      <c r="A32" s="42"/>
      <c r="B32" s="117"/>
      <c r="C32" s="441"/>
      <c r="D32" s="472">
        <v>2</v>
      </c>
      <c r="E32" s="303" t="s">
        <v>152</v>
      </c>
      <c r="F32" s="110"/>
      <c r="G32" s="111">
        <f>COUNTIF('Gweithgareddau rhestredig'!E10:E34,"5.1*")</f>
        <v>0</v>
      </c>
      <c r="H32" s="128"/>
      <c r="I32" s="461" t="str">
        <f>IF(OR(G32&gt;0,G33&gt;0),"Ie","Na")</f>
        <v>Na</v>
      </c>
      <c r="J32" s="18"/>
      <c r="K32" s="45"/>
      <c r="L32" s="18"/>
      <c r="M32" s="18"/>
      <c r="N32" s="304" t="s">
        <v>153</v>
      </c>
      <c r="O32" s="304" t="s">
        <v>154</v>
      </c>
      <c r="P32" s="305" t="s">
        <v>155</v>
      </c>
      <c r="Q32" s="304" t="s">
        <v>156</v>
      </c>
      <c r="R32" s="45"/>
      <c r="S32" s="45"/>
      <c r="T32" s="20"/>
      <c r="U32" s="18"/>
    </row>
    <row r="33" spans="1:21" ht="49.5" customHeight="1" x14ac:dyDescent="0.3">
      <c r="A33" s="42"/>
      <c r="B33" s="117"/>
      <c r="C33" s="441"/>
      <c r="D33" s="472"/>
      <c r="E33" s="306" t="s">
        <v>157</v>
      </c>
      <c r="F33" s="115"/>
      <c r="G33" s="126">
        <f>COUNTIF('Gweithgareddau rhestredig'!E10:E34,"3.1*")</f>
        <v>0</v>
      </c>
      <c r="H33" s="129"/>
      <c r="I33" s="462"/>
      <c r="J33" s="18"/>
      <c r="K33" s="45"/>
      <c r="L33" s="18"/>
      <c r="M33" s="18"/>
      <c r="N33" s="58">
        <v>13609</v>
      </c>
      <c r="O33" s="58">
        <v>20470</v>
      </c>
      <c r="P33" s="62">
        <v>32718</v>
      </c>
      <c r="Q33" s="58">
        <v>44850</v>
      </c>
      <c r="R33" s="45"/>
      <c r="S33" s="45"/>
      <c r="T33" s="20"/>
      <c r="U33" s="18"/>
    </row>
    <row r="34" spans="1:21" ht="30.75" customHeight="1" x14ac:dyDescent="0.3">
      <c r="A34" s="42"/>
      <c r="B34" s="117"/>
      <c r="C34" s="442"/>
      <c r="D34" s="187">
        <v>3</v>
      </c>
      <c r="E34" s="293" t="s">
        <v>158</v>
      </c>
      <c r="F34" s="110"/>
      <c r="G34" s="111">
        <f>COUNTIF('Gweithgareddau rhestredig'!E10:E34,"5.2*")</f>
        <v>0</v>
      </c>
      <c r="H34" s="128"/>
      <c r="I34" s="192" t="str">
        <f>IF(G34&gt;0,"Ie","Na")</f>
        <v>Na</v>
      </c>
      <c r="J34" s="18"/>
      <c r="K34" s="45">
        <f>COUNTIF(I30:I34,"Yes")</f>
        <v>0</v>
      </c>
      <c r="L34" s="127"/>
      <c r="M34" s="18"/>
      <c r="N34" s="58"/>
      <c r="O34" s="58"/>
      <c r="P34" s="62"/>
      <c r="Q34" s="58"/>
      <c r="R34" s="45"/>
      <c r="S34" s="45"/>
      <c r="T34" s="20"/>
      <c r="U34" s="18"/>
    </row>
    <row r="35" spans="1:21" ht="27" customHeight="1" x14ac:dyDescent="0.3">
      <c r="A35" s="42"/>
      <c r="B35" s="117"/>
      <c r="C35" s="18"/>
      <c r="D35" s="119"/>
      <c r="E35" s="131"/>
      <c r="F35" s="110"/>
      <c r="G35" s="110"/>
      <c r="H35" s="132"/>
      <c r="I35" s="133"/>
      <c r="J35" s="18"/>
      <c r="K35" s="45"/>
      <c r="L35" s="127"/>
      <c r="M35" s="18"/>
      <c r="N35" s="127"/>
      <c r="O35" s="137"/>
      <c r="P35" s="18"/>
      <c r="Q35" s="18"/>
      <c r="R35" s="45"/>
      <c r="S35" s="45"/>
      <c r="T35" s="20"/>
      <c r="U35" s="18"/>
    </row>
    <row r="36" spans="1:21" ht="27.9" customHeight="1" x14ac:dyDescent="0.3">
      <c r="A36" s="42"/>
      <c r="B36" s="134"/>
      <c r="C36" s="135"/>
      <c r="D36" s="118"/>
      <c r="E36" s="80"/>
      <c r="F36" s="127"/>
      <c r="G36" s="45"/>
      <c r="H36" s="136"/>
      <c r="I36" s="455" t="s">
        <v>159</v>
      </c>
      <c r="J36" s="456"/>
      <c r="K36" s="138"/>
      <c r="L36" s="195"/>
      <c r="M36" s="139" t="str">
        <f>IF(K34=0,R29,IF(AND(K34&gt;0,R29="Band 3"),"Band 4",IF(AND(K34&gt;0,R29="Band 4"),"Band 4","Band 3")))</f>
        <v/>
      </c>
      <c r="N36" s="18"/>
      <c r="O36" s="18"/>
      <c r="P36" s="18"/>
      <c r="Q36" s="18"/>
      <c r="R36" s="45"/>
      <c r="S36" s="45"/>
      <c r="T36" s="20"/>
      <c r="U36" s="18"/>
    </row>
    <row r="37" spans="1:21" ht="29.25" customHeight="1" x14ac:dyDescent="0.3">
      <c r="A37" s="42"/>
      <c r="B37" s="134"/>
      <c r="C37" s="118"/>
      <c r="D37" s="118"/>
      <c r="E37" s="80"/>
      <c r="F37" s="127"/>
      <c r="G37" s="45"/>
      <c r="H37" s="136"/>
      <c r="I37" s="455" t="s">
        <v>160</v>
      </c>
      <c r="J37" s="457"/>
      <c r="K37" s="126">
        <f>IF(M37&lt;&gt;"",M37,0)</f>
        <v>0</v>
      </c>
      <c r="L37" s="193"/>
      <c r="M37" s="194" t="str">
        <f>IF(M36="","",IF(M36="Band 1",N33,IF(M36="Band 2",O33,IF(M36="Band 3",P33,Q33))))</f>
        <v/>
      </c>
      <c r="N37" s="140"/>
      <c r="O37" s="18"/>
      <c r="P37" s="18"/>
      <c r="Q37" s="18"/>
      <c r="R37" s="45"/>
      <c r="S37" s="45"/>
      <c r="T37" s="20"/>
      <c r="U37" s="18"/>
    </row>
    <row r="38" spans="1:21" ht="13.5" customHeight="1" x14ac:dyDescent="0.3">
      <c r="A38" s="42"/>
      <c r="B38" s="134"/>
      <c r="C38" s="118"/>
      <c r="D38" s="118"/>
      <c r="E38" s="80"/>
      <c r="F38" s="127"/>
      <c r="G38" s="45"/>
      <c r="H38" s="136"/>
      <c r="I38" s="141"/>
      <c r="J38" s="141"/>
      <c r="K38" s="45"/>
      <c r="L38" s="18"/>
      <c r="M38" s="140"/>
      <c r="N38" s="140"/>
      <c r="O38" s="18"/>
      <c r="P38" s="18"/>
      <c r="Q38" s="18"/>
      <c r="R38" s="45"/>
      <c r="S38" s="45"/>
      <c r="T38" s="20"/>
      <c r="U38" s="18"/>
    </row>
    <row r="39" spans="1:21" ht="13.5" customHeight="1" x14ac:dyDescent="0.3">
      <c r="A39" s="42"/>
      <c r="B39" s="134"/>
      <c r="C39" s="18"/>
      <c r="D39" s="18"/>
      <c r="E39" s="18"/>
      <c r="F39" s="18"/>
      <c r="G39" s="45"/>
      <c r="H39" s="45"/>
      <c r="I39" s="18"/>
      <c r="J39" s="18"/>
      <c r="K39" s="45"/>
      <c r="L39" s="18"/>
      <c r="M39" s="18"/>
      <c r="N39" s="18"/>
      <c r="O39" s="42"/>
      <c r="P39" s="42"/>
      <c r="Q39" s="42"/>
      <c r="R39" s="136"/>
      <c r="S39" s="136"/>
      <c r="T39" s="142"/>
      <c r="U39" s="18"/>
    </row>
    <row r="40" spans="1:21" s="7" customFormat="1" ht="63" customHeight="1" x14ac:dyDescent="0.3">
      <c r="A40" s="42"/>
      <c r="B40" s="134"/>
      <c r="C40" s="463" t="s">
        <v>63</v>
      </c>
      <c r="D40" s="463" t="s">
        <v>161</v>
      </c>
      <c r="E40" s="464"/>
      <c r="F40" s="292" t="s">
        <v>162</v>
      </c>
      <c r="G40" s="143"/>
      <c r="H40" s="143"/>
      <c r="I40" s="292" t="s">
        <v>163</v>
      </c>
      <c r="J40" s="292" t="s">
        <v>164</v>
      </c>
      <c r="K40" s="136"/>
      <c r="L40" s="113"/>
      <c r="M40" s="244" t="s">
        <v>165</v>
      </c>
      <c r="N40" s="127"/>
      <c r="O40" s="127"/>
      <c r="P40" s="127"/>
      <c r="Q40" s="119"/>
      <c r="R40" s="136"/>
      <c r="S40" s="136"/>
      <c r="T40" s="142"/>
      <c r="U40" s="127"/>
    </row>
    <row r="41" spans="1:21" s="7" customFormat="1" ht="28.8" x14ac:dyDescent="0.3">
      <c r="A41" s="42"/>
      <c r="B41" s="134"/>
      <c r="C41" s="464"/>
      <c r="D41" s="144">
        <v>1</v>
      </c>
      <c r="E41" s="307" t="s">
        <v>166</v>
      </c>
      <c r="F41" s="145">
        <f>COUNTIF('Gweithgareddau eraill'!H13:H32,"*cymhleth*")</f>
        <v>0</v>
      </c>
      <c r="G41" s="45"/>
      <c r="H41" s="111"/>
      <c r="I41" s="196">
        <v>1626</v>
      </c>
      <c r="J41" s="146">
        <f>IF(F41&gt;0,I41,0)</f>
        <v>0</v>
      </c>
      <c r="K41" s="45"/>
      <c r="L41" s="18"/>
      <c r="M41" s="147">
        <f>IF(J42=0,J41,0)</f>
        <v>0</v>
      </c>
      <c r="N41" s="18"/>
      <c r="O41" s="18"/>
      <c r="P41" s="18"/>
      <c r="Q41" s="148"/>
      <c r="R41" s="45"/>
      <c r="S41" s="45"/>
      <c r="T41" s="20"/>
      <c r="U41" s="127"/>
    </row>
    <row r="42" spans="1:21" ht="42" customHeight="1" x14ac:dyDescent="0.3">
      <c r="A42" s="433"/>
      <c r="B42" s="117"/>
      <c r="C42" s="464"/>
      <c r="D42" s="149">
        <v>2</v>
      </c>
      <c r="E42" s="307" t="s">
        <v>167</v>
      </c>
      <c r="F42" s="150">
        <f>COUNTIF('Gweithgareddau eraill'!G13:G22,"RhanB_CHC_a_neu_EP")</f>
        <v>0</v>
      </c>
      <c r="G42" s="126"/>
      <c r="H42" s="126"/>
      <c r="I42" s="196">
        <f>907+1626</f>
        <v>2533</v>
      </c>
      <c r="J42" s="146">
        <f>IF(F42&gt;0,I42,0)</f>
        <v>0</v>
      </c>
      <c r="K42" s="45"/>
      <c r="L42" s="18"/>
      <c r="M42" s="151">
        <f>J42</f>
        <v>0</v>
      </c>
      <c r="N42" s="18"/>
      <c r="O42" s="18"/>
      <c r="P42" s="18"/>
      <c r="Q42" s="18"/>
      <c r="R42" s="45"/>
      <c r="S42" s="45"/>
      <c r="T42" s="20"/>
      <c r="U42" s="18"/>
    </row>
    <row r="43" spans="1:21" ht="28.8" x14ac:dyDescent="0.3">
      <c r="A43" s="433"/>
      <c r="B43" s="117"/>
      <c r="C43" s="464"/>
      <c r="D43" s="149">
        <v>3</v>
      </c>
      <c r="E43" s="307" t="s">
        <v>168</v>
      </c>
      <c r="F43" s="152">
        <f>COUNTIF('Gweithgareddau eraill'!G13:G32,"RhanA2")+COUNTIF('Gweithgareddau eraill'!G13:G32,"Rhan_B*")</f>
        <v>0</v>
      </c>
      <c r="G43" s="126"/>
      <c r="H43" s="126"/>
      <c r="I43" s="196">
        <v>1626</v>
      </c>
      <c r="J43" s="153">
        <f>SUM(F43*I43)</f>
        <v>0</v>
      </c>
      <c r="K43" s="45"/>
      <c r="L43" s="18"/>
      <c r="M43" s="151">
        <f>IF(J43&lt;(3*I43),J43,(3*I43))</f>
        <v>0</v>
      </c>
      <c r="N43" s="18"/>
      <c r="O43" s="18"/>
      <c r="P43" s="18"/>
      <c r="Q43" s="148"/>
      <c r="R43" s="45"/>
      <c r="S43" s="45"/>
      <c r="T43" s="20"/>
      <c r="U43" s="18"/>
    </row>
    <row r="44" spans="1:21" ht="45" customHeight="1" x14ac:dyDescent="0.3">
      <c r="A44" s="433"/>
      <c r="B44" s="117"/>
      <c r="C44" s="464"/>
      <c r="D44" s="149">
        <v>4</v>
      </c>
      <c r="E44" s="307" t="s">
        <v>169</v>
      </c>
      <c r="F44" s="152">
        <f>COUNTIF('Gweithgareddau eraill'!H11:H31,"Gweithgareddau gwastraff uniongyrchol gysylltiedig nad yw o dan adran 5.1 – 5.7 o Atodlen 1 i'r Rheoliadau Trwyddedu Amgylcheddol")</f>
        <v>0</v>
      </c>
      <c r="G44" s="126"/>
      <c r="H44" s="126"/>
      <c r="I44" s="196">
        <f>10011*0.2</f>
        <v>2002.2</v>
      </c>
      <c r="J44" s="153">
        <f>SUM(F44*I44)</f>
        <v>0</v>
      </c>
      <c r="K44" s="45"/>
      <c r="L44" s="18"/>
      <c r="M44" s="154">
        <f>IF(J44&lt;(3*I44),J44,(3*I44))</f>
        <v>0</v>
      </c>
      <c r="N44" s="18"/>
      <c r="O44" s="18"/>
      <c r="P44" s="18"/>
      <c r="Q44" s="148"/>
      <c r="R44" s="45"/>
      <c r="S44" s="45"/>
      <c r="T44" s="20"/>
      <c r="U44" s="18"/>
    </row>
    <row r="45" spans="1:21" ht="46.5" customHeight="1" x14ac:dyDescent="0.3">
      <c r="A45" s="433"/>
      <c r="B45" s="117"/>
      <c r="C45" s="18"/>
      <c r="D45" s="155"/>
      <c r="E45" s="18"/>
      <c r="F45" s="18"/>
      <c r="G45" s="45"/>
      <c r="H45" s="45"/>
      <c r="I45" s="18"/>
      <c r="J45" s="18"/>
      <c r="K45" s="45"/>
      <c r="L45" s="18"/>
      <c r="M45" s="156">
        <f>SUM(M41:M44)</f>
        <v>0</v>
      </c>
      <c r="N45" s="438" t="s">
        <v>170</v>
      </c>
      <c r="O45" s="439"/>
      <c r="P45" s="18"/>
      <c r="Q45" s="18"/>
      <c r="R45" s="45"/>
      <c r="S45" s="45"/>
      <c r="T45" s="20"/>
      <c r="U45" s="18"/>
    </row>
    <row r="46" spans="1:21" ht="30" customHeight="1" x14ac:dyDescent="0.3">
      <c r="A46" s="42"/>
      <c r="B46" s="134"/>
      <c r="C46" s="18"/>
      <c r="D46" s="18"/>
      <c r="E46" s="80" t="str">
        <f>IF(H46="incomplete","Gwiriwch eich bod wedi rhoi'r disgrifiad ar gyfer eich Gweithgareddau Eraill ar y ddalen flaenorol","")</f>
        <v/>
      </c>
      <c r="F46" s="18"/>
      <c r="G46" s="308" t="s">
        <v>171</v>
      </c>
      <c r="H46" s="157" t="str">
        <f>+'Gweithgareddau eraill'!F12</f>
        <v>complete</v>
      </c>
      <c r="I46" s="18"/>
      <c r="J46" s="18"/>
      <c r="K46" s="45"/>
      <c r="L46" s="18"/>
      <c r="M46" s="18"/>
      <c r="N46" s="18"/>
      <c r="O46" s="42"/>
      <c r="P46" s="42"/>
      <c r="Q46" s="42"/>
      <c r="R46" s="45"/>
      <c r="S46" s="45"/>
      <c r="T46" s="20"/>
      <c r="U46" s="18"/>
    </row>
    <row r="47" spans="1:21" ht="31.5" customHeight="1" x14ac:dyDescent="0.3">
      <c r="A47" s="18"/>
      <c r="B47" s="17"/>
      <c r="C47" s="18"/>
      <c r="D47" s="18"/>
      <c r="E47" s="80" t="str">
        <f>IF(H47="incomplete","Gwiriwch eich bod wedi cwblhau'r holl gofnodion glas ar gyfer eich gweithgareddau ar y ddalen flaenorol","")</f>
        <v/>
      </c>
      <c r="F47" s="18"/>
      <c r="G47" s="308" t="s">
        <v>172</v>
      </c>
      <c r="H47" s="157" t="str">
        <f>+'Gweithgareddau eraill'!H12</f>
        <v>complete</v>
      </c>
      <c r="I47" s="18"/>
      <c r="J47" s="18"/>
      <c r="K47" s="45"/>
      <c r="L47" s="18"/>
      <c r="M47" s="18"/>
      <c r="N47" s="18"/>
      <c r="O47" s="42"/>
      <c r="P47" s="42"/>
      <c r="Q47" s="42"/>
      <c r="R47" s="45"/>
      <c r="S47" s="45"/>
      <c r="T47" s="20"/>
      <c r="U47" s="18"/>
    </row>
    <row r="48" spans="1:21" ht="20.100000000000001" customHeight="1" x14ac:dyDescent="0.3">
      <c r="A48" s="18"/>
      <c r="B48" s="17"/>
      <c r="C48" s="18"/>
      <c r="D48" s="18"/>
      <c r="E48" s="18"/>
      <c r="F48" s="18"/>
      <c r="G48" s="45"/>
      <c r="H48" s="45"/>
      <c r="I48" s="18"/>
      <c r="J48" s="18"/>
      <c r="K48" s="45"/>
      <c r="L48" s="18"/>
      <c r="M48" s="18"/>
      <c r="N48" s="18"/>
      <c r="O48" s="42"/>
      <c r="P48" s="42"/>
      <c r="Q48" s="42"/>
      <c r="R48" s="45"/>
      <c r="S48" s="45"/>
      <c r="T48" s="20"/>
      <c r="U48" s="18"/>
    </row>
    <row r="49" spans="1:21" ht="40.5" customHeight="1" x14ac:dyDescent="0.3">
      <c r="A49" s="18"/>
      <c r="B49" s="17"/>
      <c r="C49" s="296" t="s">
        <v>65</v>
      </c>
      <c r="D49" s="372" t="s">
        <v>173</v>
      </c>
      <c r="E49" s="473"/>
      <c r="F49" s="473"/>
      <c r="G49" s="473"/>
      <c r="H49" s="473"/>
      <c r="I49" s="473"/>
      <c r="J49" s="474"/>
      <c r="K49" s="45"/>
      <c r="L49" s="18"/>
      <c r="M49" s="18"/>
      <c r="N49" s="18"/>
      <c r="O49" s="137"/>
      <c r="P49" s="137"/>
      <c r="Q49" s="137"/>
      <c r="R49" s="45"/>
      <c r="S49" s="45"/>
      <c r="T49" s="20"/>
      <c r="U49" s="18"/>
    </row>
    <row r="50" spans="1:21" ht="41.25" customHeight="1" x14ac:dyDescent="0.3">
      <c r="A50" s="18"/>
      <c r="B50" s="17"/>
      <c r="C50" s="467" t="s">
        <v>174</v>
      </c>
      <c r="D50" s="200"/>
      <c r="E50" s="469" t="s">
        <v>175</v>
      </c>
      <c r="F50" s="470"/>
      <c r="G50" s="470"/>
      <c r="H50" s="470"/>
      <c r="I50" s="470"/>
      <c r="J50" s="471"/>
      <c r="K50" s="126"/>
      <c r="L50" s="158"/>
      <c r="M50" s="348" t="s">
        <v>176</v>
      </c>
      <c r="N50" s="309" t="s">
        <v>177</v>
      </c>
      <c r="O50" s="444" t="s">
        <v>178</v>
      </c>
      <c r="P50" s="445"/>
      <c r="Q50" s="445"/>
      <c r="R50" s="45"/>
      <c r="S50" s="45"/>
      <c r="T50" s="20"/>
      <c r="U50" s="18"/>
    </row>
    <row r="51" spans="1:21" ht="49.5" customHeight="1" x14ac:dyDescent="0.3">
      <c r="A51" s="18"/>
      <c r="B51" s="17"/>
      <c r="C51" s="468"/>
      <c r="D51" s="174">
        <v>1</v>
      </c>
      <c r="E51" s="310" t="s">
        <v>179</v>
      </c>
      <c r="F51" s="197"/>
      <c r="G51" s="198"/>
      <c r="H51" s="199" t="str">
        <f>IF(AND(F51="Ie",O51=""),"incomplete","")</f>
        <v/>
      </c>
      <c r="I51" s="459" t="str">
        <f>IF(AND(F51="Ie",O51&gt;0),"",IF(AND(F51="Ie",O51=""),"Darparwch gyfeirnod dogfen yng ngholofn O",""))</f>
        <v/>
      </c>
      <c r="J51" s="460"/>
      <c r="K51" s="45"/>
      <c r="L51" s="158"/>
      <c r="M51" s="159" t="str">
        <f t="shared" ref="M51:M58" si="0">IF(F51="Yes",N51,"")</f>
        <v/>
      </c>
      <c r="N51" s="160">
        <v>2692</v>
      </c>
      <c r="O51" s="458"/>
      <c r="P51" s="458"/>
      <c r="Q51" s="458"/>
      <c r="R51" s="45"/>
      <c r="S51" s="45"/>
      <c r="T51" s="20"/>
      <c r="U51" s="18"/>
    </row>
    <row r="52" spans="1:21" ht="30" customHeight="1" x14ac:dyDescent="0.3">
      <c r="A52" s="18"/>
      <c r="B52" s="17"/>
      <c r="C52" s="468"/>
      <c r="D52" s="125">
        <v>2</v>
      </c>
      <c r="E52" s="310" t="s">
        <v>180</v>
      </c>
      <c r="F52" s="104"/>
      <c r="G52" s="45"/>
      <c r="H52" s="199" t="str">
        <f t="shared" ref="H52:H58" si="1">IF(AND(F52="Ie",O52=""),"incomplete","")</f>
        <v/>
      </c>
      <c r="I52" s="459" t="str">
        <f t="shared" ref="I52:I58" si="2">IF(AND(F52="Ie",O52&gt;0),"",IF(AND(F52="Ie",O52=""),"Darparwch gyfeirnod dogfen yng ngholofn O",""))</f>
        <v/>
      </c>
      <c r="J52" s="460"/>
      <c r="K52" s="45"/>
      <c r="L52" s="158"/>
      <c r="M52" s="159" t="str">
        <f t="shared" si="0"/>
        <v/>
      </c>
      <c r="N52" s="160">
        <v>1619</v>
      </c>
      <c r="O52" s="458"/>
      <c r="P52" s="458"/>
      <c r="Q52" s="458"/>
      <c r="R52" s="45"/>
      <c r="S52" s="45"/>
      <c r="T52" s="20"/>
      <c r="U52" s="18"/>
    </row>
    <row r="53" spans="1:21" ht="30" customHeight="1" x14ac:dyDescent="0.3">
      <c r="A53" s="18"/>
      <c r="B53" s="17"/>
      <c r="C53" s="468"/>
      <c r="D53" s="125">
        <v>3</v>
      </c>
      <c r="E53" s="310" t="s">
        <v>181</v>
      </c>
      <c r="F53" s="104"/>
      <c r="G53" s="45"/>
      <c r="H53" s="199" t="str">
        <f t="shared" si="1"/>
        <v/>
      </c>
      <c r="I53" s="459" t="str">
        <f t="shared" si="2"/>
        <v/>
      </c>
      <c r="J53" s="460"/>
      <c r="K53" s="45"/>
      <c r="L53" s="158"/>
      <c r="M53" s="159" t="str">
        <f t="shared" si="0"/>
        <v/>
      </c>
      <c r="N53" s="160">
        <v>1657</v>
      </c>
      <c r="O53" s="458"/>
      <c r="P53" s="458"/>
      <c r="Q53" s="458"/>
      <c r="R53" s="45"/>
      <c r="S53" s="45"/>
      <c r="T53" s="20"/>
      <c r="U53" s="18"/>
    </row>
    <row r="54" spans="1:21" ht="30" customHeight="1" x14ac:dyDescent="0.3">
      <c r="A54" s="18"/>
      <c r="B54" s="17"/>
      <c r="C54" s="468"/>
      <c r="D54" s="125">
        <v>4</v>
      </c>
      <c r="E54" s="310" t="s">
        <v>182</v>
      </c>
      <c r="F54" s="104"/>
      <c r="G54" s="45"/>
      <c r="H54" s="199" t="str">
        <f t="shared" si="1"/>
        <v/>
      </c>
      <c r="I54" s="459" t="str">
        <f t="shared" si="2"/>
        <v/>
      </c>
      <c r="J54" s="460"/>
      <c r="K54" s="45"/>
      <c r="L54" s="158"/>
      <c r="M54" s="159" t="str">
        <f t="shared" si="0"/>
        <v/>
      </c>
      <c r="N54" s="160">
        <v>3380</v>
      </c>
      <c r="O54" s="458"/>
      <c r="P54" s="458"/>
      <c r="Q54" s="458"/>
      <c r="R54" s="45"/>
      <c r="S54" s="45"/>
      <c r="T54" s="20"/>
      <c r="U54" s="18"/>
    </row>
    <row r="55" spans="1:21" ht="30" customHeight="1" x14ac:dyDescent="0.3">
      <c r="A55" s="18"/>
      <c r="B55" s="17"/>
      <c r="C55" s="468"/>
      <c r="D55" s="125">
        <v>5</v>
      </c>
      <c r="E55" s="310" t="s">
        <v>183</v>
      </c>
      <c r="F55" s="104"/>
      <c r="G55" s="45"/>
      <c r="H55" s="199" t="str">
        <f t="shared" si="1"/>
        <v/>
      </c>
      <c r="I55" s="459" t="str">
        <f t="shared" si="2"/>
        <v/>
      </c>
      <c r="J55" s="460"/>
      <c r="K55" s="45"/>
      <c r="L55" s="158"/>
      <c r="M55" s="159" t="str">
        <f t="shared" si="0"/>
        <v/>
      </c>
      <c r="N55" s="160">
        <v>2425</v>
      </c>
      <c r="O55" s="458"/>
      <c r="P55" s="458"/>
      <c r="Q55" s="458"/>
      <c r="R55" s="45"/>
      <c r="S55" s="45"/>
      <c r="T55" s="20"/>
      <c r="U55" s="18"/>
    </row>
    <row r="56" spans="1:21" ht="30" customHeight="1" x14ac:dyDescent="0.3">
      <c r="A56" s="18"/>
      <c r="B56" s="17"/>
      <c r="C56" s="468"/>
      <c r="D56" s="125">
        <v>6</v>
      </c>
      <c r="E56" s="310" t="s">
        <v>184</v>
      </c>
      <c r="F56" s="104"/>
      <c r="G56" s="45"/>
      <c r="H56" s="199" t="str">
        <f t="shared" si="1"/>
        <v/>
      </c>
      <c r="I56" s="459" t="str">
        <f t="shared" si="2"/>
        <v/>
      </c>
      <c r="J56" s="460"/>
      <c r="K56" s="45"/>
      <c r="L56" s="158"/>
      <c r="M56" s="159" t="str">
        <f t="shared" si="0"/>
        <v/>
      </c>
      <c r="N56" s="160">
        <v>1734</v>
      </c>
      <c r="O56" s="458"/>
      <c r="P56" s="458"/>
      <c r="Q56" s="458"/>
      <c r="R56" s="45"/>
      <c r="S56" s="45"/>
      <c r="T56" s="20"/>
      <c r="U56" s="18"/>
    </row>
    <row r="57" spans="1:21" ht="30" customHeight="1" x14ac:dyDescent="0.3">
      <c r="A57" s="18"/>
      <c r="B57" s="17"/>
      <c r="C57" s="468"/>
      <c r="D57" s="125">
        <v>7</v>
      </c>
      <c r="E57" s="310" t="s">
        <v>185</v>
      </c>
      <c r="F57" s="104"/>
      <c r="G57" s="45"/>
      <c r="H57" s="199" t="str">
        <f t="shared" si="1"/>
        <v/>
      </c>
      <c r="I57" s="459" t="str">
        <f t="shared" si="2"/>
        <v/>
      </c>
      <c r="J57" s="460"/>
      <c r="K57" s="45"/>
      <c r="L57" s="158"/>
      <c r="M57" s="159" t="str">
        <f t="shared" si="0"/>
        <v/>
      </c>
      <c r="N57" s="160">
        <v>2343</v>
      </c>
      <c r="O57" s="458"/>
      <c r="P57" s="458"/>
      <c r="Q57" s="458"/>
      <c r="R57" s="45"/>
      <c r="S57" s="45"/>
      <c r="T57" s="20"/>
      <c r="U57" s="18"/>
    </row>
    <row r="58" spans="1:21" ht="30" customHeight="1" x14ac:dyDescent="0.3">
      <c r="A58" s="18"/>
      <c r="B58" s="17"/>
      <c r="C58" s="468"/>
      <c r="D58" s="125">
        <v>8</v>
      </c>
      <c r="E58" s="310" t="s">
        <v>186</v>
      </c>
      <c r="F58" s="104"/>
      <c r="G58" s="161"/>
      <c r="H58" s="199" t="str">
        <f t="shared" si="1"/>
        <v/>
      </c>
      <c r="I58" s="459" t="str">
        <f t="shared" si="2"/>
        <v/>
      </c>
      <c r="J58" s="460"/>
      <c r="K58" s="126"/>
      <c r="L58" s="18"/>
      <c r="M58" s="159" t="str">
        <f t="shared" si="0"/>
        <v/>
      </c>
      <c r="N58" s="160">
        <v>3222</v>
      </c>
      <c r="O58" s="458"/>
      <c r="P58" s="458"/>
      <c r="Q58" s="458"/>
      <c r="R58" s="45"/>
      <c r="S58" s="45"/>
      <c r="T58" s="20"/>
      <c r="U58" s="18"/>
    </row>
    <row r="59" spans="1:21" ht="30" customHeight="1" x14ac:dyDescent="0.3">
      <c r="A59" s="18"/>
      <c r="B59" s="17"/>
      <c r="C59" s="18"/>
      <c r="D59" s="18"/>
      <c r="E59" s="18"/>
      <c r="F59" s="18"/>
      <c r="G59" s="45"/>
      <c r="H59" s="18"/>
      <c r="I59" s="18"/>
      <c r="J59" s="18"/>
      <c r="K59" s="45"/>
      <c r="L59" s="18"/>
      <c r="M59" s="162">
        <f>SUM(M51:M58)</f>
        <v>0</v>
      </c>
      <c r="N59" s="18"/>
      <c r="O59" s="42"/>
      <c r="P59" s="42"/>
      <c r="Q59" s="18"/>
      <c r="R59" s="45"/>
      <c r="S59" s="45"/>
      <c r="T59" s="20"/>
      <c r="U59" s="18"/>
    </row>
    <row r="60" spans="1:21" ht="30" customHeight="1" x14ac:dyDescent="0.3">
      <c r="A60" s="18"/>
      <c r="B60" s="17"/>
      <c r="C60" s="18"/>
      <c r="D60" s="18"/>
      <c r="E60" s="229" t="str">
        <f>IF(H60="incomplete","Gwnewch yn siŵr eich bod wedi nodi'r cyfeirnodau dogfen sydd eu hangen ar gyfer eich asesiadau ychwanegol","")</f>
        <v/>
      </c>
      <c r="F60" s="18"/>
      <c r="G60" s="45"/>
      <c r="H60" s="45" t="str">
        <f t="array" ref="H60">IF(OR(H51:H58="incomplete"),"incomplete","Complete")</f>
        <v>Complete</v>
      </c>
      <c r="I60" s="18"/>
      <c r="J60" s="18"/>
      <c r="K60" s="45"/>
      <c r="L60" s="18"/>
      <c r="M60" s="163"/>
      <c r="N60" s="18"/>
      <c r="O60" s="42"/>
      <c r="P60" s="42"/>
      <c r="Q60" s="18"/>
      <c r="R60" s="45"/>
      <c r="S60" s="45"/>
      <c r="T60" s="20"/>
      <c r="U60" s="18"/>
    </row>
    <row r="61" spans="1:21" ht="30" customHeight="1" x14ac:dyDescent="0.3">
      <c r="A61" s="18"/>
      <c r="B61" s="17"/>
      <c r="C61" s="18"/>
      <c r="D61" s="18"/>
      <c r="E61" s="229" t="str">
        <f>IF(H61="incomplete","Gwnewch yn siŵr eich bod wedi ateb pob cwestiwn yn y cwymplenni glas yn yr adran hon","")</f>
        <v>Gwnewch yn siŵr eich bod wedi ateb pob cwestiwn yn y cwymplenni glas yn yr adran hon</v>
      </c>
      <c r="F61" s="18"/>
      <c r="G61" s="45"/>
      <c r="H61" s="18" t="str">
        <f>IF(OR(F55=0,F52=0,F53=0,F54=0,F51=0,F56=0,F57=0,F58=0,"incomplete"),"Incomplete","Complete")</f>
        <v>Incomplete</v>
      </c>
      <c r="I61" s="18"/>
      <c r="J61" s="18"/>
      <c r="K61" s="45"/>
      <c r="L61" s="18"/>
      <c r="M61" s="163"/>
      <c r="N61" s="18"/>
      <c r="O61" s="42"/>
      <c r="P61" s="42"/>
      <c r="Q61" s="18"/>
      <c r="R61" s="45"/>
      <c r="S61" s="45"/>
      <c r="T61" s="20"/>
      <c r="U61" s="18"/>
    </row>
    <row r="62" spans="1:21" ht="30" customHeight="1" x14ac:dyDescent="0.3">
      <c r="A62" s="18"/>
      <c r="B62" s="17"/>
      <c r="C62" s="18"/>
      <c r="D62" s="18"/>
      <c r="E62" s="18"/>
      <c r="F62" s="113"/>
      <c r="G62" s="46"/>
      <c r="H62" s="46"/>
      <c r="I62" s="113"/>
      <c r="J62" s="18"/>
      <c r="K62" s="45"/>
      <c r="L62" s="18"/>
      <c r="M62" s="18"/>
      <c r="N62" s="18"/>
      <c r="O62" s="18"/>
      <c r="P62" s="18"/>
      <c r="Q62" s="18"/>
      <c r="R62" s="45"/>
      <c r="S62" s="45"/>
      <c r="T62" s="20"/>
      <c r="U62" s="18"/>
    </row>
    <row r="63" spans="1:21" ht="14.1" customHeight="1" x14ac:dyDescent="0.3">
      <c r="A63" s="18"/>
      <c r="B63" s="17"/>
      <c r="C63" s="18"/>
      <c r="D63" s="18"/>
      <c r="E63" s="18"/>
      <c r="F63" s="18"/>
      <c r="G63" s="45"/>
      <c r="H63" s="45"/>
      <c r="I63" s="18"/>
      <c r="J63" s="18"/>
      <c r="K63" s="45"/>
      <c r="L63" s="18"/>
      <c r="M63" s="18"/>
      <c r="N63" s="18"/>
      <c r="O63" s="18"/>
      <c r="P63" s="42"/>
      <c r="Q63" s="42"/>
      <c r="R63" s="45"/>
      <c r="S63" s="45"/>
      <c r="T63" s="20"/>
      <c r="U63" s="18"/>
    </row>
    <row r="64" spans="1:21" ht="51.6" customHeight="1" x14ac:dyDescent="0.35">
      <c r="A64" s="18"/>
      <c r="B64" s="17"/>
      <c r="C64" s="18"/>
      <c r="D64" s="18"/>
      <c r="E64" s="311" t="s">
        <v>187</v>
      </c>
      <c r="F64" s="18"/>
      <c r="G64" s="45"/>
      <c r="H64" s="45"/>
      <c r="I64" s="453" t="s">
        <v>188</v>
      </c>
      <c r="J64" s="454"/>
      <c r="K64" s="164">
        <f>SUM(K37+M45+M59)</f>
        <v>0</v>
      </c>
      <c r="L64" s="18"/>
      <c r="M64" s="165" t="str">
        <f>IF(K64=0,"",K64)</f>
        <v/>
      </c>
      <c r="N64" s="166"/>
      <c r="O64" s="18"/>
      <c r="P64" s="166"/>
      <c r="Q64" s="42"/>
      <c r="R64" s="45"/>
      <c r="S64" s="45"/>
      <c r="T64" s="20"/>
      <c r="U64" s="18"/>
    </row>
    <row r="65" spans="1:21" ht="34.5" customHeight="1" x14ac:dyDescent="0.3">
      <c r="A65" s="18"/>
      <c r="B65" s="17"/>
      <c r="C65" s="18"/>
      <c r="D65" s="18"/>
      <c r="E65" s="18"/>
      <c r="F65" s="18"/>
      <c r="G65" s="45"/>
      <c r="H65" s="45"/>
      <c r="I65" s="18"/>
      <c r="J65" s="18"/>
      <c r="K65" s="45"/>
      <c r="L65" s="18"/>
      <c r="M65" s="18"/>
      <c r="N65" s="18"/>
      <c r="O65" s="18"/>
      <c r="P65" s="18"/>
      <c r="Q65" s="18"/>
      <c r="R65" s="297" t="s">
        <v>189</v>
      </c>
      <c r="S65" s="45"/>
      <c r="T65" s="20"/>
      <c r="U65" s="18"/>
    </row>
    <row r="66" spans="1:21" x14ac:dyDescent="0.3">
      <c r="A66" s="18"/>
      <c r="B66" s="17"/>
      <c r="C66" s="18"/>
      <c r="D66" s="18"/>
      <c r="E66" s="18"/>
      <c r="F66" s="18"/>
      <c r="G66" s="45"/>
      <c r="H66" s="45"/>
      <c r="I66" s="18"/>
      <c r="J66" s="18"/>
      <c r="K66" s="45"/>
      <c r="L66" s="18"/>
      <c r="M66" s="167">
        <f>K64/R66</f>
        <v>0</v>
      </c>
      <c r="N66" s="312" t="s">
        <v>190</v>
      </c>
      <c r="O66" s="18"/>
      <c r="P66" s="18"/>
      <c r="Q66" s="18"/>
      <c r="R66" s="130">
        <v>105</v>
      </c>
      <c r="S66" s="45"/>
      <c r="T66" s="20"/>
      <c r="U66" s="18"/>
    </row>
    <row r="67" spans="1:21" x14ac:dyDescent="0.3">
      <c r="A67" s="18"/>
      <c r="B67" s="17"/>
      <c r="C67" s="18"/>
      <c r="D67" s="18"/>
      <c r="E67" s="18"/>
      <c r="F67" s="18"/>
      <c r="G67" s="45"/>
      <c r="H67" s="45"/>
      <c r="I67" s="18"/>
      <c r="J67" s="18"/>
      <c r="K67" s="45"/>
      <c r="L67" s="18"/>
      <c r="M67" s="18"/>
      <c r="N67" s="18"/>
      <c r="O67" s="18"/>
      <c r="P67" s="18"/>
      <c r="Q67" s="18"/>
      <c r="R67" s="45"/>
      <c r="S67" s="45"/>
      <c r="T67" s="20"/>
      <c r="U67" s="18"/>
    </row>
    <row r="68" spans="1:21" ht="15" thickBot="1" x14ac:dyDescent="0.35">
      <c r="A68" s="18"/>
      <c r="B68" s="24"/>
      <c r="C68" s="25"/>
      <c r="D68" s="25"/>
      <c r="E68" s="25"/>
      <c r="F68" s="25"/>
      <c r="G68" s="64"/>
      <c r="H68" s="64"/>
      <c r="I68" s="25"/>
      <c r="J68" s="25"/>
      <c r="K68" s="64"/>
      <c r="L68" s="25"/>
      <c r="M68" s="25"/>
      <c r="N68" s="25"/>
      <c r="O68" s="25"/>
      <c r="P68" s="25"/>
      <c r="Q68" s="25"/>
      <c r="R68" s="64"/>
      <c r="S68" s="64"/>
      <c r="T68" s="27"/>
      <c r="U68" s="18"/>
    </row>
    <row r="69" spans="1:21" x14ac:dyDescent="0.3">
      <c r="A69" s="18"/>
      <c r="B69" s="18"/>
      <c r="C69" s="18"/>
      <c r="D69" s="18"/>
      <c r="E69" s="18"/>
      <c r="F69" s="18"/>
      <c r="G69" s="45"/>
      <c r="H69" s="45"/>
      <c r="I69" s="18"/>
      <c r="J69" s="18"/>
      <c r="K69" s="45"/>
      <c r="L69" s="18"/>
      <c r="M69" s="18"/>
      <c r="N69" s="18"/>
      <c r="O69" s="18"/>
      <c r="P69" s="18"/>
      <c r="Q69" s="18"/>
      <c r="R69" s="45"/>
      <c r="S69" s="45"/>
      <c r="T69" s="18"/>
      <c r="U69" s="18"/>
    </row>
    <row r="70" spans="1:21" x14ac:dyDescent="0.3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</row>
  </sheetData>
  <sheetProtection algorithmName="SHA-512" hashValue="A4gFKE5b271KgH27iTHssdIaCgktfoWzm9A5VqI57rairxMBgiQl8W9/RvEQ39hO2wN3Q487+sQrLov8E8N4qA==" saltValue="Xg6lVQYQ4ECFGxp+5I59+g==" spinCount="100000" sheet="1" objects="1" scenarios="1"/>
  <mergeCells count="53">
    <mergeCell ref="R7:R8"/>
    <mergeCell ref="I57:J57"/>
    <mergeCell ref="I32:I33"/>
    <mergeCell ref="D40:E40"/>
    <mergeCell ref="C8:E8"/>
    <mergeCell ref="E20:I20"/>
    <mergeCell ref="C20:D20"/>
    <mergeCell ref="C9:C15"/>
    <mergeCell ref="O51:Q51"/>
    <mergeCell ref="C22:C27"/>
    <mergeCell ref="E50:J50"/>
    <mergeCell ref="I51:J51"/>
    <mergeCell ref="D32:D33"/>
    <mergeCell ref="C40:C44"/>
    <mergeCell ref="C50:C58"/>
    <mergeCell ref="D49:J49"/>
    <mergeCell ref="I64:J64"/>
    <mergeCell ref="I36:J36"/>
    <mergeCell ref="I37:J37"/>
    <mergeCell ref="O53:Q53"/>
    <mergeCell ref="O54:Q54"/>
    <mergeCell ref="O55:Q55"/>
    <mergeCell ref="O56:Q56"/>
    <mergeCell ref="O57:Q57"/>
    <mergeCell ref="O58:Q58"/>
    <mergeCell ref="I53:J53"/>
    <mergeCell ref="I54:J54"/>
    <mergeCell ref="I58:J58"/>
    <mergeCell ref="O52:Q52"/>
    <mergeCell ref="I52:J52"/>
    <mergeCell ref="I55:J55"/>
    <mergeCell ref="I56:J56"/>
    <mergeCell ref="A10:A12"/>
    <mergeCell ref="O25:Q26"/>
    <mergeCell ref="O50:Q50"/>
    <mergeCell ref="N30:Q31"/>
    <mergeCell ref="C4:I4"/>
    <mergeCell ref="D9:I9"/>
    <mergeCell ref="C6:D6"/>
    <mergeCell ref="E6:F6"/>
    <mergeCell ref="C7:D7"/>
    <mergeCell ref="E7:F7"/>
    <mergeCell ref="R27:S27"/>
    <mergeCell ref="R20:S20"/>
    <mergeCell ref="R14:S15"/>
    <mergeCell ref="A42:A45"/>
    <mergeCell ref="R22:S22"/>
    <mergeCell ref="R23:S23"/>
    <mergeCell ref="R24:S24"/>
    <mergeCell ref="R25:S25"/>
    <mergeCell ref="R26:S26"/>
    <mergeCell ref="N45:O45"/>
    <mergeCell ref="C30:C34"/>
  </mergeCells>
  <conditionalFormatting sqref="E16 E18">
    <cfRule type="containsText" dxfId="28" priority="23" operator="containsText" text="Please ">
      <formula>NOT(ISERROR(SEARCH("Please ",E16)))</formula>
    </cfRule>
  </conditionalFormatting>
  <conditionalFormatting sqref="E17">
    <cfRule type="containsText" dxfId="27" priority="5" operator="containsText" text="Gwiriwch">
      <formula>NOT(ISERROR(SEARCH("Gwiriwch",E17)))</formula>
    </cfRule>
    <cfRule type="containsText" dxfId="26" priority="6" operator="containsText" text="Gwiriwch">
      <formula>NOT(ISERROR(SEARCH("Gwiriwch",E17)))</formula>
    </cfRule>
    <cfRule type="containsText" dxfId="25" priority="7" operator="containsText" text="Gwiriwch eich bod wedi cwblhau'r disgrifiad o'ch gweithgareddau ar y daflen Gweithgaredd Rhestredig">
      <formula>NOT(ISERROR(SEARCH("Gwiriwch eich bod wedi cwblhau'r disgrifiad o'ch gweithgareddau ar y daflen Gweithgaredd Rhestredig",E17)))</formula>
    </cfRule>
    <cfRule type="containsText" dxfId="24" priority="29" operator="containsText" text="Please">
      <formula>NOT(ISERROR(SEARCH("Please",E17)))</formula>
    </cfRule>
    <cfRule type="containsText" dxfId="23" priority="30" operator="containsText" text="Please ">
      <formula>NOT(ISERROR(SEARCH("Please ",E17)))</formula>
    </cfRule>
  </conditionalFormatting>
  <conditionalFormatting sqref="E46:E47">
    <cfRule type="containsText" dxfId="22" priority="3" operator="containsText" text="Gwiriwch">
      <formula>NOT(ISERROR(SEARCH("Gwiriwch",E46)))</formula>
    </cfRule>
    <cfRule type="containsText" dxfId="21" priority="26" operator="containsText" text="Please">
      <formula>NOT(ISERROR(SEARCH("Please",E46)))</formula>
    </cfRule>
  </conditionalFormatting>
  <conditionalFormatting sqref="E60:E61">
    <cfRule type="containsText" dxfId="20" priority="1" operator="containsText" text="Gwnewch">
      <formula>NOT(ISERROR(SEARCH("Gwnewch",E60)))</formula>
    </cfRule>
    <cfRule type="containsText" dxfId="19" priority="2" operator="containsText" text="Gwewch">
      <formula>NOT(ISERROR(SEARCH("Gwewch",E60)))</formula>
    </cfRule>
    <cfRule type="containsText" dxfId="18" priority="25" operator="containsText" text="Please">
      <formula>NOT(ISERROR(SEARCH("Please",E60)))</formula>
    </cfRule>
  </conditionalFormatting>
  <conditionalFormatting sqref="F51:F58">
    <cfRule type="containsText" dxfId="17" priority="8" operator="containsText" text="No">
      <formula>NOT(ISERROR(SEARCH("No",F51)))</formula>
    </cfRule>
    <cfRule type="containsText" dxfId="16" priority="9" operator="containsText" text="Yes">
      <formula>NOT(ISERROR(SEARCH("Yes",F51)))</formula>
    </cfRule>
  </conditionalFormatting>
  <conditionalFormatting sqref="H15:H18 H21:H24 H27 H34:H35 G39 H46:H47">
    <cfRule type="cellIs" dxfId="15" priority="62" operator="equal">
      <formula>"incomplete"</formula>
    </cfRule>
    <cfRule type="cellIs" dxfId="14" priority="63" operator="equal">
      <formula>"complete"</formula>
    </cfRule>
  </conditionalFormatting>
  <conditionalFormatting sqref="H51:H58">
    <cfRule type="cellIs" dxfId="13" priority="34" operator="equal">
      <formula>"Complete"</formula>
    </cfRule>
    <cfRule type="cellIs" dxfId="12" priority="35" operator="equal">
      <formula>"Incomplete"</formula>
    </cfRule>
  </conditionalFormatting>
  <conditionalFormatting sqref="H61">
    <cfRule type="containsText" dxfId="11" priority="31" operator="containsText" text="INCOMPLETE">
      <formula>NOT(ISERROR(SEARCH("INCOMPLETE",H61)))</formula>
    </cfRule>
    <cfRule type="containsText" dxfId="10" priority="32" operator="containsText" text="COMPLETE">
      <formula>NOT(ISERROR(SEARCH("COMPLETE",H61)))</formula>
    </cfRule>
    <cfRule type="cellIs" dxfId="9" priority="36" operator="equal">
      <formula>"complete"</formula>
    </cfRule>
    <cfRule type="cellIs" dxfId="8" priority="37" operator="equal">
      <formula>"incomplete"</formula>
    </cfRule>
  </conditionalFormatting>
  <conditionalFormatting sqref="I22">
    <cfRule type="containsText" dxfId="7" priority="21" operator="containsText" text="No">
      <formula>NOT(ISERROR(SEARCH("No",I22)))</formula>
    </cfRule>
    <cfRule type="containsText" dxfId="6" priority="22" operator="containsText" text="Yes">
      <formula>NOT(ISERROR(SEARCH("Yes",I22)))</formula>
    </cfRule>
  </conditionalFormatting>
  <conditionalFormatting sqref="I23">
    <cfRule type="notContainsBlanks" dxfId="5" priority="12">
      <formula>LEN(TRIM(I23))&gt;0</formula>
    </cfRule>
    <cfRule type="notContainsBlanks" priority="13">
      <formula>LEN(TRIM(I23))&gt;0</formula>
    </cfRule>
    <cfRule type="cellIs" dxfId="4" priority="20" operator="greaterThan">
      <formula>0</formula>
    </cfRule>
  </conditionalFormatting>
  <conditionalFormatting sqref="I24:I30">
    <cfRule type="containsText" dxfId="3" priority="17" operator="containsText" text="Yes">
      <formula>NOT(ISERROR(SEARCH("Yes",I24)))</formula>
    </cfRule>
    <cfRule type="containsText" dxfId="2" priority="18" operator="containsText" text="No">
      <formula>NOT(ISERROR(SEARCH("No",I24)))</formula>
    </cfRule>
  </conditionalFormatting>
  <conditionalFormatting sqref="I51:I58">
    <cfRule type="notContainsBlanks" dxfId="1" priority="33">
      <formula>LEN(TRIM(I51))&gt;0</formula>
    </cfRule>
  </conditionalFormatting>
  <conditionalFormatting sqref="E18">
    <cfRule type="containsText" dxfId="0" priority="4" operator="containsText" text="Gwiriwch">
      <formula>NOT(ISERROR(SEARCH("Gwiriwch",E18)))</formula>
    </cfRule>
  </conditionalFormatting>
  <dataValidations count="3">
    <dataValidation type="list" allowBlank="1" showInputMessage="1" showErrorMessage="1" sqref="I39 I21 I31" xr:uid="{00000000-0002-0000-0400-000000000000}">
      <formula1>"yes, no"</formula1>
    </dataValidation>
    <dataValidation type="list" allowBlank="1" showInputMessage="1" showErrorMessage="1" sqref="I19" xr:uid="{00000000-0002-0000-0400-000001000000}">
      <formula1>"0,1,2,3,4"</formula1>
    </dataValidation>
    <dataValidation type="list" allowBlank="1" showInputMessage="1" showErrorMessage="1" sqref="N11 N39 O32 N20:N25 N35 N29" xr:uid="{00000000-0002-0000-0400-000002000000}">
      <formula1>"0,2"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400-000003000000}">
          <x14:formula1>
            <xm:f>Picklists!$AJ$2:$AJ$5</xm:f>
          </x14:formula1>
          <xm:sqref>I23</xm:sqref>
        </x14:dataValidation>
        <x14:dataValidation type="list" allowBlank="1" showInputMessage="1" showErrorMessage="1" xr:uid="{00000000-0002-0000-0400-000004000000}">
          <x14:formula1>
            <xm:f>Picklists!$AE$4:$AE$10</xm:f>
          </x14:formula1>
          <xm:sqref>I23</xm:sqref>
        </x14:dataValidation>
        <x14:dataValidation type="list" allowBlank="1" showInputMessage="1" showErrorMessage="1" xr:uid="{00000000-0002-0000-0400-000005000000}">
          <x14:formula1>
            <xm:f>Picklists!$AC$2:$AC$3</xm:f>
          </x14:formula1>
          <xm:sqref>I24:I30 I22 F51:F58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1E0CC-0749-44ED-970E-2AD5308EED85}">
  <sheetPr>
    <tabColor theme="1"/>
  </sheetPr>
  <dimension ref="A1:AW135"/>
  <sheetViews>
    <sheetView topLeftCell="E1" zoomScale="110" zoomScaleNormal="110" workbookViewId="0">
      <selection activeCell="P18" sqref="P18"/>
    </sheetView>
  </sheetViews>
  <sheetFormatPr defaultRowHeight="14.4" x14ac:dyDescent="0.3"/>
  <cols>
    <col min="1" max="2" width="9.109375" customWidth="1"/>
    <col min="3" max="3" width="18.6640625" customWidth="1"/>
    <col min="4" max="4" width="26.5546875" customWidth="1"/>
    <col min="5" max="5" width="9.109375" customWidth="1"/>
    <col min="6" max="6" width="10.109375" customWidth="1"/>
    <col min="7" max="7" width="9.109375" customWidth="1"/>
    <col min="8" max="8" width="10" customWidth="1"/>
    <col min="9" max="13" width="9.109375" customWidth="1"/>
    <col min="14" max="14" width="14.88671875" customWidth="1"/>
    <col min="15" max="16" width="18.5546875" customWidth="1"/>
    <col min="17" max="21" width="9.109375" customWidth="1"/>
    <col min="22" max="22" width="21.5546875" customWidth="1"/>
    <col min="23" max="49" width="9.109375" customWidth="1"/>
  </cols>
  <sheetData>
    <row r="1" spans="1:49" ht="100.8" x14ac:dyDescent="0.3">
      <c r="A1" s="5"/>
      <c r="B1" s="313" t="s">
        <v>4</v>
      </c>
      <c r="C1" s="5"/>
      <c r="D1" s="313" t="s">
        <v>191</v>
      </c>
      <c r="E1" s="5"/>
      <c r="F1" s="5"/>
      <c r="G1" s="5"/>
      <c r="H1" s="245" t="s">
        <v>192</v>
      </c>
      <c r="I1" s="314" t="s">
        <v>193</v>
      </c>
      <c r="J1" s="14"/>
      <c r="K1" s="14"/>
      <c r="L1" s="313" t="s">
        <v>194</v>
      </c>
      <c r="M1" s="5"/>
      <c r="N1" s="313" t="s">
        <v>194</v>
      </c>
      <c r="O1" s="5"/>
      <c r="P1" s="5"/>
      <c r="Q1" s="5"/>
      <c r="R1" s="5"/>
      <c r="S1" s="5"/>
      <c r="T1" s="313" t="s">
        <v>194</v>
      </c>
      <c r="U1" s="5"/>
      <c r="V1" s="313" t="s">
        <v>194</v>
      </c>
      <c r="W1" s="5"/>
      <c r="X1" s="5"/>
      <c r="Y1" s="5"/>
      <c r="Z1" s="5"/>
      <c r="AA1" s="313" t="s">
        <v>195</v>
      </c>
      <c r="AB1" s="5"/>
      <c r="AC1" s="5"/>
      <c r="AD1" s="313" t="s">
        <v>196</v>
      </c>
      <c r="AE1" s="5"/>
      <c r="AF1" s="5"/>
      <c r="AG1" s="5"/>
      <c r="AH1" s="313" t="s">
        <v>197</v>
      </c>
      <c r="AI1" s="313" t="s">
        <v>198</v>
      </c>
      <c r="AJ1" s="315" t="s">
        <v>199</v>
      </c>
      <c r="AK1" s="315" t="s">
        <v>200</v>
      </c>
      <c r="AL1" s="5"/>
    </row>
    <row r="2" spans="1:49" ht="50.25" customHeight="1" x14ac:dyDescent="0.3">
      <c r="B2" s="316" t="s">
        <v>201</v>
      </c>
      <c r="C2" s="316" t="s">
        <v>202</v>
      </c>
      <c r="D2" s="317" t="s">
        <v>203</v>
      </c>
      <c r="E2" s="317" t="s">
        <v>204</v>
      </c>
      <c r="F2" s="316" t="s">
        <v>205</v>
      </c>
      <c r="G2" s="316" t="s">
        <v>101</v>
      </c>
      <c r="H2" s="316" t="s">
        <v>206</v>
      </c>
      <c r="I2" s="316" t="s">
        <v>207</v>
      </c>
      <c r="J2" s="9"/>
      <c r="K2" s="12"/>
      <c r="L2" s="9"/>
      <c r="M2" s="9"/>
      <c r="N2" s="316" t="s">
        <v>208</v>
      </c>
      <c r="O2" s="9"/>
      <c r="P2" s="9"/>
      <c r="Q2" s="9"/>
      <c r="R2" s="9"/>
      <c r="S2" s="9"/>
      <c r="T2" s="9"/>
      <c r="U2" s="9"/>
      <c r="V2" s="316" t="s">
        <v>209</v>
      </c>
      <c r="W2" s="9"/>
      <c r="X2" s="9"/>
      <c r="Y2" s="9"/>
      <c r="Z2" s="9"/>
      <c r="AA2" s="316" t="s">
        <v>210</v>
      </c>
      <c r="AB2" s="9"/>
      <c r="AC2" s="316" t="s">
        <v>210</v>
      </c>
      <c r="AD2" s="316" t="s">
        <v>211</v>
      </c>
      <c r="AE2" s="9"/>
      <c r="AF2" s="316" t="s">
        <v>210</v>
      </c>
      <c r="AG2" s="316" t="s">
        <v>212</v>
      </c>
      <c r="AH2" s="316" t="s">
        <v>210</v>
      </c>
      <c r="AI2" s="316" t="s">
        <v>213</v>
      </c>
      <c r="AJ2" s="9">
        <v>0</v>
      </c>
      <c r="AK2" s="316" t="s">
        <v>214</v>
      </c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</row>
    <row r="3" spans="1:49" ht="57.6" x14ac:dyDescent="0.3">
      <c r="B3" s="318" t="s">
        <v>210</v>
      </c>
      <c r="C3" s="319" t="s">
        <v>215</v>
      </c>
      <c r="D3" s="320" t="s">
        <v>216</v>
      </c>
      <c r="E3" s="321" t="s">
        <v>217</v>
      </c>
      <c r="F3">
        <v>50</v>
      </c>
      <c r="G3" s="318" t="s">
        <v>218</v>
      </c>
      <c r="H3" s="318" t="s">
        <v>219</v>
      </c>
      <c r="I3" s="318" t="s">
        <v>212</v>
      </c>
      <c r="K3" s="6"/>
      <c r="L3" s="322" t="s">
        <v>220</v>
      </c>
      <c r="N3" s="318" t="s">
        <v>221</v>
      </c>
      <c r="O3" s="318" t="s">
        <v>222</v>
      </c>
      <c r="P3" s="318" t="s">
        <v>223</v>
      </c>
      <c r="Q3" s="318" t="s">
        <v>224</v>
      </c>
      <c r="R3" s="318" t="s">
        <v>225</v>
      </c>
      <c r="S3" s="318" t="s">
        <v>226</v>
      </c>
      <c r="T3" s="318" t="s">
        <v>227</v>
      </c>
      <c r="V3" s="318" t="s">
        <v>203</v>
      </c>
      <c r="W3" s="318" t="s">
        <v>228</v>
      </c>
      <c r="Y3" s="318" t="s">
        <v>229</v>
      </c>
      <c r="AA3" s="318" t="s">
        <v>212</v>
      </c>
      <c r="AC3" s="318" t="s">
        <v>212</v>
      </c>
      <c r="AD3" s="318" t="s">
        <v>230</v>
      </c>
      <c r="AF3" s="318" t="s">
        <v>212</v>
      </c>
      <c r="AG3" s="318" t="s">
        <v>231</v>
      </c>
      <c r="AH3" s="318" t="s">
        <v>212</v>
      </c>
      <c r="AI3" s="318" t="s">
        <v>232</v>
      </c>
      <c r="AJ3">
        <v>1</v>
      </c>
      <c r="AK3" s="318" t="s">
        <v>233</v>
      </c>
    </row>
    <row r="4" spans="1:49" x14ac:dyDescent="0.3">
      <c r="B4" s="318" t="s">
        <v>212</v>
      </c>
      <c r="D4" s="320" t="s">
        <v>234</v>
      </c>
      <c r="E4" s="321" t="s">
        <v>235</v>
      </c>
      <c r="F4">
        <v>1000</v>
      </c>
      <c r="G4" s="318" t="s">
        <v>236</v>
      </c>
      <c r="H4" s="318" t="s">
        <v>237</v>
      </c>
      <c r="I4" s="318" t="s">
        <v>212</v>
      </c>
      <c r="K4" s="6"/>
      <c r="N4" s="318" t="s">
        <v>238</v>
      </c>
      <c r="O4" s="318" t="s">
        <v>239</v>
      </c>
      <c r="P4" s="318" t="s">
        <v>240</v>
      </c>
      <c r="Q4" s="318" t="s">
        <v>241</v>
      </c>
      <c r="R4" s="318" t="s">
        <v>242</v>
      </c>
      <c r="S4" s="318" t="s">
        <v>243</v>
      </c>
      <c r="T4" s="318" t="s">
        <v>244</v>
      </c>
      <c r="V4" s="318" t="s">
        <v>245</v>
      </c>
      <c r="Y4">
        <v>1</v>
      </c>
      <c r="AE4">
        <v>0</v>
      </c>
      <c r="AF4" s="318" t="s">
        <v>210</v>
      </c>
      <c r="AH4" s="318" t="s">
        <v>231</v>
      </c>
      <c r="AI4" s="318" t="s">
        <v>246</v>
      </c>
      <c r="AJ4">
        <v>2</v>
      </c>
      <c r="AK4" s="318" t="s">
        <v>231</v>
      </c>
    </row>
    <row r="5" spans="1:49" x14ac:dyDescent="0.3">
      <c r="D5" s="320" t="s">
        <v>247</v>
      </c>
      <c r="E5" s="321" t="s">
        <v>11</v>
      </c>
      <c r="H5" s="318" t="s">
        <v>248</v>
      </c>
      <c r="I5" s="318" t="s">
        <v>212</v>
      </c>
      <c r="K5" s="6"/>
      <c r="N5" s="318" t="s">
        <v>249</v>
      </c>
      <c r="O5" s="318" t="s">
        <v>250</v>
      </c>
      <c r="P5" s="318" t="s">
        <v>251</v>
      </c>
      <c r="R5" s="318" t="s">
        <v>252</v>
      </c>
      <c r="Y5">
        <v>2</v>
      </c>
      <c r="AE5">
        <v>1</v>
      </c>
      <c r="AI5" s="318" t="s">
        <v>253</v>
      </c>
      <c r="AJ5" s="318" t="s">
        <v>17</v>
      </c>
    </row>
    <row r="6" spans="1:49" x14ac:dyDescent="0.3">
      <c r="D6" s="320" t="s">
        <v>254</v>
      </c>
      <c r="E6" s="321" t="s">
        <v>11</v>
      </c>
      <c r="F6">
        <v>20</v>
      </c>
      <c r="G6" s="318" t="s">
        <v>218</v>
      </c>
      <c r="I6" s="318" t="s">
        <v>212</v>
      </c>
      <c r="K6" s="6"/>
      <c r="N6" s="318" t="s">
        <v>255</v>
      </c>
      <c r="O6" s="318" t="s">
        <v>256</v>
      </c>
      <c r="P6" s="318" t="s">
        <v>257</v>
      </c>
      <c r="R6" s="318" t="s">
        <v>258</v>
      </c>
      <c r="Y6">
        <v>3</v>
      </c>
      <c r="AE6">
        <v>2</v>
      </c>
    </row>
    <row r="7" spans="1:49" x14ac:dyDescent="0.3">
      <c r="D7" s="320" t="s">
        <v>259</v>
      </c>
      <c r="E7" s="321" t="s">
        <v>217</v>
      </c>
      <c r="H7" s="318" t="s">
        <v>237</v>
      </c>
      <c r="I7" s="318" t="s">
        <v>212</v>
      </c>
      <c r="K7" s="6"/>
      <c r="N7" s="318" t="s">
        <v>260</v>
      </c>
      <c r="O7" s="318" t="s">
        <v>261</v>
      </c>
      <c r="P7" s="318" t="s">
        <v>262</v>
      </c>
      <c r="Y7">
        <v>4</v>
      </c>
      <c r="AE7">
        <v>3</v>
      </c>
    </row>
    <row r="8" spans="1:49" x14ac:dyDescent="0.3">
      <c r="D8" s="323" t="s">
        <v>263</v>
      </c>
      <c r="E8" s="321" t="s">
        <v>217</v>
      </c>
      <c r="H8" s="318" t="s">
        <v>237</v>
      </c>
      <c r="I8" s="318" t="s">
        <v>212</v>
      </c>
      <c r="K8" s="6"/>
      <c r="N8" s="318" t="s">
        <v>264</v>
      </c>
      <c r="O8" s="318" t="s">
        <v>265</v>
      </c>
      <c r="P8" s="318" t="s">
        <v>266</v>
      </c>
      <c r="Y8">
        <v>5</v>
      </c>
      <c r="AE8">
        <v>4</v>
      </c>
    </row>
    <row r="9" spans="1:49" x14ac:dyDescent="0.3">
      <c r="D9" s="323" t="s">
        <v>267</v>
      </c>
      <c r="E9" s="321" t="s">
        <v>217</v>
      </c>
      <c r="H9" s="318" t="s">
        <v>237</v>
      </c>
      <c r="I9" s="318" t="s">
        <v>212</v>
      </c>
      <c r="K9" s="6"/>
      <c r="N9" s="318" t="s">
        <v>268</v>
      </c>
      <c r="O9" s="318" t="s">
        <v>269</v>
      </c>
      <c r="P9" s="318" t="s">
        <v>270</v>
      </c>
      <c r="Y9">
        <v>6</v>
      </c>
      <c r="AE9">
        <v>5</v>
      </c>
    </row>
    <row r="10" spans="1:49" x14ac:dyDescent="0.3">
      <c r="D10" s="323" t="s">
        <v>271</v>
      </c>
      <c r="E10" s="321" t="s">
        <v>11</v>
      </c>
      <c r="I10" s="318" t="s">
        <v>212</v>
      </c>
      <c r="K10" s="6"/>
      <c r="N10" s="318" t="s">
        <v>272</v>
      </c>
      <c r="O10" s="318" t="s">
        <v>273</v>
      </c>
      <c r="AE10" s="318" t="s">
        <v>274</v>
      </c>
    </row>
    <row r="11" spans="1:49" ht="15" thickBot="1" x14ac:dyDescent="0.35">
      <c r="D11" s="324" t="s">
        <v>275</v>
      </c>
      <c r="E11" s="325" t="s">
        <v>11</v>
      </c>
      <c r="I11" s="318" t="s">
        <v>212</v>
      </c>
      <c r="K11" s="6"/>
      <c r="N11" s="318" t="s">
        <v>276</v>
      </c>
      <c r="O11" s="318" t="s">
        <v>277</v>
      </c>
    </row>
    <row r="12" spans="1:49" x14ac:dyDescent="0.3">
      <c r="D12" s="326" t="s">
        <v>278</v>
      </c>
      <c r="E12" s="327" t="s">
        <v>217</v>
      </c>
      <c r="H12" s="318" t="s">
        <v>248</v>
      </c>
      <c r="I12" s="318" t="s">
        <v>212</v>
      </c>
      <c r="K12" s="6"/>
      <c r="N12" s="318" t="s">
        <v>279</v>
      </c>
      <c r="O12" s="318" t="s">
        <v>280</v>
      </c>
    </row>
    <row r="13" spans="1:49" x14ac:dyDescent="0.3">
      <c r="D13" s="320" t="s">
        <v>281</v>
      </c>
      <c r="E13" s="321" t="s">
        <v>11</v>
      </c>
      <c r="H13" s="318" t="s">
        <v>248</v>
      </c>
      <c r="I13" s="318" t="s">
        <v>212</v>
      </c>
      <c r="K13" s="6"/>
      <c r="N13" s="318" t="s">
        <v>282</v>
      </c>
      <c r="O13" s="318" t="s">
        <v>283</v>
      </c>
    </row>
    <row r="14" spans="1:49" x14ac:dyDescent="0.3">
      <c r="D14" s="320" t="s">
        <v>284</v>
      </c>
      <c r="E14" s="321" t="s">
        <v>217</v>
      </c>
      <c r="F14">
        <v>20</v>
      </c>
      <c r="G14" s="318" t="s">
        <v>285</v>
      </c>
      <c r="H14" s="318" t="s">
        <v>286</v>
      </c>
      <c r="I14" s="318" t="s">
        <v>212</v>
      </c>
      <c r="K14" s="6"/>
      <c r="N14" s="318" t="s">
        <v>287</v>
      </c>
      <c r="O14" s="318" t="s">
        <v>288</v>
      </c>
    </row>
    <row r="15" spans="1:49" ht="15" thickBot="1" x14ac:dyDescent="0.35">
      <c r="D15" s="324" t="s">
        <v>289</v>
      </c>
      <c r="E15" s="325" t="s">
        <v>235</v>
      </c>
      <c r="F15" s="10">
        <v>500000</v>
      </c>
      <c r="G15" s="318" t="s">
        <v>236</v>
      </c>
      <c r="H15" s="318" t="s">
        <v>248</v>
      </c>
      <c r="I15" s="318" t="s">
        <v>212</v>
      </c>
      <c r="K15" s="6"/>
      <c r="N15" s="318" t="s">
        <v>290</v>
      </c>
      <c r="O15" s="318" t="s">
        <v>291</v>
      </c>
    </row>
    <row r="16" spans="1:49" x14ac:dyDescent="0.3">
      <c r="D16" s="326" t="s">
        <v>292</v>
      </c>
      <c r="E16" s="327" t="s">
        <v>217</v>
      </c>
      <c r="H16" s="318" t="s">
        <v>293</v>
      </c>
      <c r="I16" s="318" t="s">
        <v>212</v>
      </c>
      <c r="K16" s="6"/>
      <c r="N16" s="318" t="s">
        <v>294</v>
      </c>
      <c r="O16" s="318" t="s">
        <v>295</v>
      </c>
    </row>
    <row r="17" spans="4:15" x14ac:dyDescent="0.3">
      <c r="D17" s="328" t="s">
        <v>296</v>
      </c>
      <c r="E17" s="321" t="s">
        <v>297</v>
      </c>
      <c r="F17">
        <v>4</v>
      </c>
      <c r="G17" s="318" t="s">
        <v>298</v>
      </c>
      <c r="H17" s="318" t="s">
        <v>293</v>
      </c>
      <c r="I17" s="318" t="s">
        <v>212</v>
      </c>
      <c r="K17" s="6"/>
      <c r="N17" s="318" t="s">
        <v>299</v>
      </c>
      <c r="O17" s="318" t="s">
        <v>300</v>
      </c>
    </row>
    <row r="18" spans="4:15" x14ac:dyDescent="0.3">
      <c r="D18" s="320" t="s">
        <v>301</v>
      </c>
      <c r="E18" s="321" t="s">
        <v>297</v>
      </c>
      <c r="F18">
        <v>20</v>
      </c>
      <c r="G18" s="318" t="s">
        <v>298</v>
      </c>
      <c r="H18" s="318" t="s">
        <v>293</v>
      </c>
      <c r="I18" s="318" t="s">
        <v>212</v>
      </c>
      <c r="K18" s="6"/>
      <c r="N18" s="318" t="s">
        <v>302</v>
      </c>
      <c r="O18" s="318" t="s">
        <v>303</v>
      </c>
    </row>
    <row r="19" spans="4:15" ht="15" thickBot="1" x14ac:dyDescent="0.35">
      <c r="D19" s="324" t="s">
        <v>304</v>
      </c>
      <c r="E19" s="325" t="s">
        <v>235</v>
      </c>
      <c r="H19" s="318" t="s">
        <v>293</v>
      </c>
      <c r="I19" s="318" t="s">
        <v>212</v>
      </c>
      <c r="K19" s="6"/>
      <c r="N19" s="318" t="s">
        <v>305</v>
      </c>
      <c r="O19" s="318" t="s">
        <v>306</v>
      </c>
    </row>
    <row r="20" spans="4:15" ht="15" thickBot="1" x14ac:dyDescent="0.35">
      <c r="D20" s="329" t="s">
        <v>307</v>
      </c>
      <c r="E20" s="330" t="s">
        <v>235</v>
      </c>
      <c r="F20">
        <v>30</v>
      </c>
      <c r="G20" s="318" t="s">
        <v>308</v>
      </c>
      <c r="H20" s="318" t="s">
        <v>309</v>
      </c>
      <c r="I20" s="318" t="s">
        <v>212</v>
      </c>
      <c r="K20" s="6"/>
      <c r="N20" s="318" t="s">
        <v>310</v>
      </c>
      <c r="O20" s="318" t="s">
        <v>311</v>
      </c>
    </row>
    <row r="21" spans="4:15" ht="28.8" x14ac:dyDescent="0.3">
      <c r="D21" s="331" t="s">
        <v>312</v>
      </c>
      <c r="E21" s="327" t="s">
        <v>217</v>
      </c>
      <c r="F21">
        <v>500</v>
      </c>
      <c r="G21" s="318" t="s">
        <v>298</v>
      </c>
      <c r="H21" s="318" t="s">
        <v>313</v>
      </c>
      <c r="I21" s="318" t="s">
        <v>212</v>
      </c>
      <c r="K21" s="6"/>
      <c r="N21" s="318" t="s">
        <v>314</v>
      </c>
      <c r="O21" s="318" t="s">
        <v>315</v>
      </c>
    </row>
    <row r="22" spans="4:15" x14ac:dyDescent="0.3">
      <c r="D22" s="320" t="s">
        <v>316</v>
      </c>
      <c r="E22" s="321" t="s">
        <v>217</v>
      </c>
      <c r="F22">
        <v>50</v>
      </c>
      <c r="G22" s="318" t="s">
        <v>298</v>
      </c>
      <c r="H22" s="318" t="s">
        <v>313</v>
      </c>
      <c r="I22" s="318" t="s">
        <v>212</v>
      </c>
      <c r="K22" s="6"/>
      <c r="N22" s="318" t="s">
        <v>317</v>
      </c>
      <c r="O22" s="318" t="s">
        <v>318</v>
      </c>
    </row>
    <row r="23" spans="4:15" ht="15" thickBot="1" x14ac:dyDescent="0.35">
      <c r="D23" s="332" t="s">
        <v>319</v>
      </c>
      <c r="E23" s="325" t="s">
        <v>217</v>
      </c>
      <c r="F23">
        <v>500</v>
      </c>
      <c r="G23" s="318" t="s">
        <v>298</v>
      </c>
      <c r="H23" s="318" t="s">
        <v>313</v>
      </c>
      <c r="I23" s="318" t="s">
        <v>212</v>
      </c>
      <c r="K23" s="6"/>
      <c r="N23" s="318" t="s">
        <v>320</v>
      </c>
      <c r="O23" s="318" t="s">
        <v>321</v>
      </c>
    </row>
    <row r="24" spans="4:15" x14ac:dyDescent="0.3">
      <c r="D24" s="326" t="s">
        <v>322</v>
      </c>
      <c r="E24" s="327" t="s">
        <v>235</v>
      </c>
      <c r="I24" s="318" t="s">
        <v>212</v>
      </c>
      <c r="K24" s="6"/>
      <c r="O24" s="318" t="s">
        <v>323</v>
      </c>
    </row>
    <row r="25" spans="4:15" ht="15" thickBot="1" x14ac:dyDescent="0.35">
      <c r="D25" s="324" t="s">
        <v>324</v>
      </c>
      <c r="E25" s="325" t="s">
        <v>235</v>
      </c>
      <c r="I25" s="318" t="s">
        <v>212</v>
      </c>
      <c r="K25" s="6"/>
      <c r="O25" s="318" t="s">
        <v>325</v>
      </c>
    </row>
    <row r="26" spans="4:15" ht="15" thickBot="1" x14ac:dyDescent="0.35">
      <c r="D26" s="329" t="s">
        <v>326</v>
      </c>
      <c r="E26" s="330" t="s">
        <v>235</v>
      </c>
      <c r="F26">
        <v>20</v>
      </c>
      <c r="G26" s="318" t="s">
        <v>298</v>
      </c>
      <c r="H26" s="318" t="s">
        <v>327</v>
      </c>
      <c r="I26" s="318" t="s">
        <v>212</v>
      </c>
      <c r="K26" s="6"/>
      <c r="O26" s="318" t="s">
        <v>328</v>
      </c>
    </row>
    <row r="27" spans="4:15" ht="15" thickBot="1" x14ac:dyDescent="0.35">
      <c r="D27" s="329" t="s">
        <v>329</v>
      </c>
      <c r="E27" s="330" t="s">
        <v>235</v>
      </c>
      <c r="F27">
        <v>20</v>
      </c>
      <c r="G27" s="318" t="s">
        <v>298</v>
      </c>
      <c r="H27" s="318" t="s">
        <v>327</v>
      </c>
      <c r="I27" s="318" t="s">
        <v>212</v>
      </c>
      <c r="K27" s="6"/>
      <c r="O27" s="318" t="s">
        <v>330</v>
      </c>
    </row>
    <row r="28" spans="4:15" ht="15" thickBot="1" x14ac:dyDescent="0.35">
      <c r="D28" s="329" t="s">
        <v>331</v>
      </c>
      <c r="E28" s="330" t="s">
        <v>235</v>
      </c>
      <c r="F28">
        <v>75</v>
      </c>
      <c r="G28" s="318" t="s">
        <v>298</v>
      </c>
      <c r="H28" s="318" t="s">
        <v>332</v>
      </c>
      <c r="I28" s="318" t="s">
        <v>212</v>
      </c>
      <c r="K28" s="6"/>
      <c r="O28" s="318" t="s">
        <v>333</v>
      </c>
    </row>
    <row r="29" spans="4:15" x14ac:dyDescent="0.3">
      <c r="D29" s="326" t="s">
        <v>334</v>
      </c>
      <c r="E29" s="327" t="s">
        <v>297</v>
      </c>
      <c r="H29" s="318" t="s">
        <v>335</v>
      </c>
      <c r="I29" s="318" t="s">
        <v>212</v>
      </c>
      <c r="K29" s="6"/>
      <c r="O29" s="318" t="s">
        <v>336</v>
      </c>
    </row>
    <row r="30" spans="4:15" x14ac:dyDescent="0.3">
      <c r="D30" s="320" t="s">
        <v>337</v>
      </c>
      <c r="E30" s="321" t="s">
        <v>297</v>
      </c>
      <c r="H30" s="318" t="s">
        <v>335</v>
      </c>
      <c r="I30" s="318" t="s">
        <v>212</v>
      </c>
      <c r="K30" s="6"/>
      <c r="O30" s="318" t="s">
        <v>338</v>
      </c>
    </row>
    <row r="31" spans="4:15" x14ac:dyDescent="0.3">
      <c r="D31" s="320" t="s">
        <v>339</v>
      </c>
      <c r="E31" s="321" t="s">
        <v>297</v>
      </c>
      <c r="H31" s="318" t="s">
        <v>335</v>
      </c>
      <c r="I31" s="318" t="s">
        <v>212</v>
      </c>
      <c r="K31" s="6"/>
      <c r="O31" s="318" t="s">
        <v>340</v>
      </c>
    </row>
    <row r="32" spans="4:15" x14ac:dyDescent="0.3">
      <c r="D32" s="320" t="s">
        <v>341</v>
      </c>
      <c r="E32" s="321" t="s">
        <v>217</v>
      </c>
      <c r="H32" s="318" t="s">
        <v>335</v>
      </c>
      <c r="I32" s="318" t="s">
        <v>212</v>
      </c>
      <c r="K32" s="6"/>
      <c r="O32" s="318" t="s">
        <v>342</v>
      </c>
    </row>
    <row r="33" spans="4:15" x14ac:dyDescent="0.3">
      <c r="D33" s="320" t="s">
        <v>343</v>
      </c>
      <c r="E33" s="321" t="s">
        <v>297</v>
      </c>
      <c r="H33" s="318" t="s">
        <v>335</v>
      </c>
      <c r="I33" s="318" t="s">
        <v>212</v>
      </c>
      <c r="K33" s="6"/>
      <c r="O33" s="318" t="s">
        <v>344</v>
      </c>
    </row>
    <row r="34" spans="4:15" x14ac:dyDescent="0.3">
      <c r="D34" s="320" t="s">
        <v>345</v>
      </c>
      <c r="E34" s="321" t="s">
        <v>217</v>
      </c>
      <c r="H34" s="318" t="s">
        <v>335</v>
      </c>
      <c r="I34" s="318" t="s">
        <v>212</v>
      </c>
      <c r="K34" s="6"/>
      <c r="O34" s="318" t="s">
        <v>346</v>
      </c>
    </row>
    <row r="35" spans="4:15" x14ac:dyDescent="0.3">
      <c r="D35" s="320" t="s">
        <v>347</v>
      </c>
      <c r="E35" s="321" t="s">
        <v>297</v>
      </c>
      <c r="H35" s="318" t="s">
        <v>335</v>
      </c>
      <c r="I35" s="318" t="s">
        <v>212</v>
      </c>
      <c r="K35" s="6"/>
      <c r="O35" s="318" t="s">
        <v>348</v>
      </c>
    </row>
    <row r="36" spans="4:15" x14ac:dyDescent="0.3">
      <c r="D36" s="320" t="s">
        <v>349</v>
      </c>
      <c r="E36" s="321" t="s">
        <v>217</v>
      </c>
      <c r="H36" s="318" t="s">
        <v>350</v>
      </c>
      <c r="I36" s="318" t="s">
        <v>212</v>
      </c>
      <c r="K36" s="6"/>
      <c r="O36" s="318" t="s">
        <v>351</v>
      </c>
    </row>
    <row r="37" spans="4:15" x14ac:dyDescent="0.3">
      <c r="D37" s="320" t="s">
        <v>352</v>
      </c>
      <c r="E37" s="321" t="s">
        <v>297</v>
      </c>
      <c r="H37" s="318" t="s">
        <v>350</v>
      </c>
      <c r="I37" s="318" t="s">
        <v>212</v>
      </c>
      <c r="K37" s="6"/>
      <c r="O37" s="318" t="s">
        <v>353</v>
      </c>
    </row>
    <row r="38" spans="4:15" x14ac:dyDescent="0.3">
      <c r="D38" s="320" t="s">
        <v>354</v>
      </c>
      <c r="E38" s="321" t="s">
        <v>217</v>
      </c>
      <c r="H38" s="318" t="s">
        <v>350</v>
      </c>
      <c r="I38" s="318" t="s">
        <v>212</v>
      </c>
      <c r="K38" s="6"/>
      <c r="O38" s="318" t="s">
        <v>355</v>
      </c>
    </row>
    <row r="39" spans="4:15" ht="15" thickBot="1" x14ac:dyDescent="0.35">
      <c r="D39" s="332" t="s">
        <v>356</v>
      </c>
      <c r="E39" s="325" t="s">
        <v>217</v>
      </c>
      <c r="H39" s="318" t="s">
        <v>335</v>
      </c>
      <c r="I39" s="318" t="s">
        <v>212</v>
      </c>
      <c r="K39" s="6"/>
      <c r="O39" s="318" t="s">
        <v>357</v>
      </c>
    </row>
    <row r="40" spans="4:15" x14ac:dyDescent="0.3">
      <c r="D40" s="326" t="s">
        <v>358</v>
      </c>
      <c r="E40" s="327" t="s">
        <v>217</v>
      </c>
      <c r="H40" s="318" t="s">
        <v>359</v>
      </c>
      <c r="I40" s="318" t="s">
        <v>212</v>
      </c>
      <c r="K40" s="6"/>
      <c r="O40" s="318" t="s">
        <v>360</v>
      </c>
    </row>
    <row r="41" spans="4:15" x14ac:dyDescent="0.3">
      <c r="D41" s="320" t="s">
        <v>361</v>
      </c>
      <c r="E41" s="321" t="s">
        <v>217</v>
      </c>
      <c r="H41" s="318" t="s">
        <v>359</v>
      </c>
      <c r="I41" s="318" t="s">
        <v>212</v>
      </c>
      <c r="K41" s="6"/>
      <c r="O41" s="318" t="s">
        <v>362</v>
      </c>
    </row>
    <row r="42" spans="4:15" x14ac:dyDescent="0.3">
      <c r="D42" s="320" t="s">
        <v>363</v>
      </c>
      <c r="E42" s="321" t="s">
        <v>217</v>
      </c>
      <c r="H42" s="318" t="s">
        <v>359</v>
      </c>
      <c r="I42" s="318" t="s">
        <v>212</v>
      </c>
      <c r="K42" s="6"/>
      <c r="O42" s="318" t="s">
        <v>364</v>
      </c>
    </row>
    <row r="43" spans="4:15" x14ac:dyDescent="0.3">
      <c r="D43" s="320" t="s">
        <v>365</v>
      </c>
      <c r="E43" s="321" t="s">
        <v>217</v>
      </c>
      <c r="H43" s="318" t="s">
        <v>359</v>
      </c>
      <c r="I43" s="318" t="s">
        <v>212</v>
      </c>
      <c r="K43" s="6"/>
      <c r="O43" s="318" t="s">
        <v>366</v>
      </c>
    </row>
    <row r="44" spans="4:15" x14ac:dyDescent="0.3">
      <c r="D44" s="320" t="s">
        <v>367</v>
      </c>
      <c r="E44" s="321" t="s">
        <v>217</v>
      </c>
      <c r="H44" s="318" t="s">
        <v>359</v>
      </c>
      <c r="I44" s="318" t="s">
        <v>212</v>
      </c>
      <c r="K44" s="6"/>
      <c r="O44" s="318" t="s">
        <v>368</v>
      </c>
    </row>
    <row r="45" spans="4:15" x14ac:dyDescent="0.3">
      <c r="D45" s="323" t="s">
        <v>369</v>
      </c>
      <c r="E45" s="321" t="s">
        <v>217</v>
      </c>
      <c r="H45" s="318" t="s">
        <v>359</v>
      </c>
      <c r="I45" s="318" t="s">
        <v>212</v>
      </c>
      <c r="K45" s="6"/>
      <c r="O45" s="318" t="s">
        <v>370</v>
      </c>
    </row>
    <row r="46" spans="4:15" x14ac:dyDescent="0.3">
      <c r="D46" s="323" t="s">
        <v>371</v>
      </c>
      <c r="E46" s="321" t="s">
        <v>235</v>
      </c>
      <c r="H46" s="318" t="s">
        <v>359</v>
      </c>
      <c r="I46" s="318" t="s">
        <v>212</v>
      </c>
      <c r="K46" s="6"/>
      <c r="O46" s="318" t="s">
        <v>372</v>
      </c>
    </row>
    <row r="47" spans="4:15" x14ac:dyDescent="0.3">
      <c r="D47" s="323" t="s">
        <v>373</v>
      </c>
      <c r="E47" s="321" t="s">
        <v>235</v>
      </c>
      <c r="H47" s="318" t="s">
        <v>359</v>
      </c>
      <c r="I47" s="318" t="s">
        <v>212</v>
      </c>
      <c r="K47" s="6"/>
      <c r="O47" s="318" t="s">
        <v>374</v>
      </c>
    </row>
    <row r="48" spans="4:15" x14ac:dyDescent="0.3">
      <c r="D48" s="323" t="s">
        <v>375</v>
      </c>
      <c r="E48" s="321" t="s">
        <v>235</v>
      </c>
      <c r="H48" s="318" t="s">
        <v>359</v>
      </c>
      <c r="I48" s="318" t="s">
        <v>212</v>
      </c>
      <c r="K48" s="6"/>
      <c r="O48" s="318" t="s">
        <v>376</v>
      </c>
    </row>
    <row r="49" spans="4:15" x14ac:dyDescent="0.3">
      <c r="D49" s="323" t="s">
        <v>377</v>
      </c>
      <c r="E49" s="321" t="s">
        <v>235</v>
      </c>
      <c r="H49" s="318" t="s">
        <v>359</v>
      </c>
      <c r="I49" s="318" t="s">
        <v>212</v>
      </c>
      <c r="K49" s="6"/>
      <c r="O49" s="318" t="s">
        <v>378</v>
      </c>
    </row>
    <row r="50" spans="4:15" ht="15" thickBot="1" x14ac:dyDescent="0.35">
      <c r="D50" s="324" t="s">
        <v>379</v>
      </c>
      <c r="E50" s="325" t="s">
        <v>235</v>
      </c>
      <c r="H50" s="318" t="s">
        <v>359</v>
      </c>
      <c r="I50" s="318" t="s">
        <v>212</v>
      </c>
      <c r="K50" s="6"/>
      <c r="O50" s="318" t="s">
        <v>380</v>
      </c>
    </row>
    <row r="51" spans="4:15" x14ac:dyDescent="0.3">
      <c r="D51" s="326" t="s">
        <v>381</v>
      </c>
      <c r="E51" s="333" t="s">
        <v>217</v>
      </c>
      <c r="H51" s="318" t="s">
        <v>382</v>
      </c>
      <c r="I51" s="318" t="s">
        <v>212</v>
      </c>
      <c r="K51" s="6"/>
      <c r="O51" s="318" t="s">
        <v>383</v>
      </c>
    </row>
    <row r="52" spans="4:15" x14ac:dyDescent="0.3">
      <c r="D52" s="320" t="s">
        <v>384</v>
      </c>
      <c r="E52" s="334" t="s">
        <v>217</v>
      </c>
      <c r="H52" s="318" t="s">
        <v>385</v>
      </c>
      <c r="I52" s="318" t="s">
        <v>212</v>
      </c>
      <c r="K52" s="6"/>
      <c r="O52" s="318" t="s">
        <v>386</v>
      </c>
    </row>
    <row r="53" spans="4:15" x14ac:dyDescent="0.3">
      <c r="D53" s="320" t="s">
        <v>387</v>
      </c>
      <c r="E53" s="321" t="s">
        <v>217</v>
      </c>
      <c r="H53" s="318" t="s">
        <v>385</v>
      </c>
      <c r="I53" s="318" t="s">
        <v>212</v>
      </c>
      <c r="K53" s="6"/>
      <c r="O53" s="318" t="s">
        <v>388</v>
      </c>
    </row>
    <row r="54" spans="4:15" ht="15" thickBot="1" x14ac:dyDescent="0.35">
      <c r="D54" s="332" t="s">
        <v>389</v>
      </c>
      <c r="E54" s="325" t="s">
        <v>217</v>
      </c>
      <c r="I54" s="318" t="s">
        <v>212</v>
      </c>
      <c r="K54" s="6"/>
      <c r="O54" s="318" t="s">
        <v>390</v>
      </c>
    </row>
    <row r="55" spans="4:15" ht="15" thickBot="1" x14ac:dyDescent="0.35">
      <c r="D55" s="335" t="s">
        <v>391</v>
      </c>
      <c r="E55" s="330" t="s">
        <v>235</v>
      </c>
      <c r="I55" s="318" t="s">
        <v>212</v>
      </c>
      <c r="K55" s="6"/>
      <c r="O55" s="318" t="s">
        <v>392</v>
      </c>
    </row>
    <row r="56" spans="4:15" x14ac:dyDescent="0.3">
      <c r="D56" s="326" t="s">
        <v>393</v>
      </c>
      <c r="E56" s="327" t="s">
        <v>11</v>
      </c>
      <c r="F56">
        <v>10</v>
      </c>
      <c r="G56" s="318" t="s">
        <v>298</v>
      </c>
      <c r="H56" s="318" t="s">
        <v>394</v>
      </c>
      <c r="I56" s="318" t="s">
        <v>212</v>
      </c>
      <c r="K56" s="6"/>
      <c r="O56" s="318" t="s">
        <v>395</v>
      </c>
    </row>
    <row r="57" spans="4:15" x14ac:dyDescent="0.3">
      <c r="D57" s="320" t="s">
        <v>396</v>
      </c>
      <c r="E57" s="321" t="s">
        <v>11</v>
      </c>
      <c r="F57">
        <v>3</v>
      </c>
      <c r="G57" s="318" t="s">
        <v>285</v>
      </c>
      <c r="H57" s="318" t="s">
        <v>394</v>
      </c>
      <c r="I57" s="318" t="s">
        <v>212</v>
      </c>
      <c r="K57" s="6"/>
      <c r="O57" s="318" t="s">
        <v>397</v>
      </c>
    </row>
    <row r="58" spans="4:15" ht="15" thickBot="1" x14ac:dyDescent="0.35">
      <c r="D58" s="324" t="s">
        <v>398</v>
      </c>
      <c r="E58" s="325" t="s">
        <v>217</v>
      </c>
      <c r="H58" s="318" t="s">
        <v>394</v>
      </c>
      <c r="I58" s="318" t="s">
        <v>212</v>
      </c>
      <c r="K58" s="6"/>
      <c r="O58" s="318" t="s">
        <v>399</v>
      </c>
    </row>
    <row r="59" spans="4:15" x14ac:dyDescent="0.3">
      <c r="D59" s="326" t="s">
        <v>400</v>
      </c>
      <c r="E59" s="327" t="s">
        <v>217</v>
      </c>
      <c r="F59">
        <v>10</v>
      </c>
      <c r="G59" s="318" t="s">
        <v>298</v>
      </c>
      <c r="H59" s="318" t="s">
        <v>401</v>
      </c>
      <c r="I59" s="336" t="s">
        <v>210</v>
      </c>
      <c r="J59" s="8"/>
      <c r="K59" s="13"/>
      <c r="O59" s="318" t="s">
        <v>402</v>
      </c>
    </row>
    <row r="60" spans="4:15" x14ac:dyDescent="0.3">
      <c r="D60" s="320" t="s">
        <v>403</v>
      </c>
      <c r="E60" s="321" t="s">
        <v>297</v>
      </c>
      <c r="F60">
        <v>10</v>
      </c>
      <c r="G60" s="318" t="s">
        <v>298</v>
      </c>
      <c r="H60" s="318" t="s">
        <v>404</v>
      </c>
      <c r="I60" s="318" t="s">
        <v>210</v>
      </c>
      <c r="K60" s="6"/>
      <c r="O60" s="318" t="s">
        <v>405</v>
      </c>
    </row>
    <row r="61" spans="4:15" x14ac:dyDescent="0.3">
      <c r="D61" s="328" t="s">
        <v>406</v>
      </c>
      <c r="E61" s="321" t="s">
        <v>297</v>
      </c>
      <c r="F61">
        <v>100</v>
      </c>
      <c r="G61" s="318" t="s">
        <v>298</v>
      </c>
      <c r="H61" s="318" t="s">
        <v>404</v>
      </c>
      <c r="I61" s="318" t="s">
        <v>210</v>
      </c>
      <c r="K61" s="6"/>
      <c r="O61" s="318" t="s">
        <v>407</v>
      </c>
    </row>
    <row r="62" spans="4:15" x14ac:dyDescent="0.3">
      <c r="D62" s="320" t="s">
        <v>408</v>
      </c>
      <c r="E62" s="321" t="s">
        <v>297</v>
      </c>
      <c r="F62">
        <v>10</v>
      </c>
      <c r="G62" s="318" t="s">
        <v>298</v>
      </c>
      <c r="H62" s="318" t="s">
        <v>404</v>
      </c>
      <c r="I62" s="318" t="s">
        <v>210</v>
      </c>
      <c r="K62" s="6"/>
      <c r="O62" s="318" t="s">
        <v>409</v>
      </c>
    </row>
    <row r="63" spans="4:15" x14ac:dyDescent="0.3">
      <c r="D63" s="320" t="s">
        <v>410</v>
      </c>
      <c r="E63" s="321" t="s">
        <v>297</v>
      </c>
      <c r="F63">
        <v>10</v>
      </c>
      <c r="G63" s="318" t="s">
        <v>298</v>
      </c>
      <c r="H63" s="318" t="s">
        <v>404</v>
      </c>
      <c r="I63" s="318" t="s">
        <v>210</v>
      </c>
      <c r="K63" s="6"/>
      <c r="O63" s="318" t="s">
        <v>411</v>
      </c>
    </row>
    <row r="64" spans="4:15" x14ac:dyDescent="0.3">
      <c r="D64" s="320" t="s">
        <v>412</v>
      </c>
      <c r="E64" s="321" t="s">
        <v>297</v>
      </c>
      <c r="F64">
        <v>10</v>
      </c>
      <c r="G64" s="318" t="s">
        <v>298</v>
      </c>
      <c r="H64" s="318" t="s">
        <v>404</v>
      </c>
      <c r="I64" s="318" t="s">
        <v>210</v>
      </c>
      <c r="K64" s="6"/>
      <c r="O64" s="318" t="s">
        <v>413</v>
      </c>
    </row>
    <row r="65" spans="4:15" x14ac:dyDescent="0.3">
      <c r="D65" s="320" t="s">
        <v>414</v>
      </c>
      <c r="E65" s="321" t="s">
        <v>235</v>
      </c>
      <c r="F65">
        <v>10</v>
      </c>
      <c r="G65" s="318" t="s">
        <v>298</v>
      </c>
      <c r="H65" s="318" t="s">
        <v>404</v>
      </c>
      <c r="I65" s="318" t="s">
        <v>210</v>
      </c>
      <c r="K65" s="6"/>
      <c r="O65" s="318" t="s">
        <v>415</v>
      </c>
    </row>
    <row r="66" spans="4:15" x14ac:dyDescent="0.3">
      <c r="D66" s="320" t="s">
        <v>416</v>
      </c>
      <c r="E66" s="321" t="s">
        <v>235</v>
      </c>
      <c r="F66">
        <v>10</v>
      </c>
      <c r="G66" s="318" t="s">
        <v>298</v>
      </c>
      <c r="H66" s="318" t="s">
        <v>404</v>
      </c>
      <c r="I66" s="318" t="s">
        <v>210</v>
      </c>
      <c r="K66" s="6"/>
      <c r="O66" s="318" t="s">
        <v>417</v>
      </c>
    </row>
    <row r="67" spans="4:15" x14ac:dyDescent="0.3">
      <c r="D67" s="320" t="s">
        <v>418</v>
      </c>
      <c r="E67" s="321" t="s">
        <v>235</v>
      </c>
      <c r="F67">
        <v>10</v>
      </c>
      <c r="G67" s="318" t="s">
        <v>298</v>
      </c>
      <c r="H67" s="318" t="s">
        <v>404</v>
      </c>
      <c r="I67" s="318" t="s">
        <v>212</v>
      </c>
      <c r="K67" s="6"/>
      <c r="O67" s="318" t="s">
        <v>419</v>
      </c>
    </row>
    <row r="68" spans="4:15" ht="15.75" customHeight="1" x14ac:dyDescent="0.3">
      <c r="D68" s="320" t="s">
        <v>420</v>
      </c>
      <c r="E68" s="321" t="s">
        <v>235</v>
      </c>
      <c r="F68">
        <v>10</v>
      </c>
      <c r="G68" s="318" t="s">
        <v>298</v>
      </c>
      <c r="H68" s="318" t="s">
        <v>404</v>
      </c>
      <c r="I68" s="318" t="s">
        <v>210</v>
      </c>
      <c r="K68" s="6"/>
      <c r="O68" s="318" t="s">
        <v>421</v>
      </c>
    </row>
    <row r="69" spans="4:15" x14ac:dyDescent="0.3">
      <c r="D69" s="320" t="s">
        <v>422</v>
      </c>
      <c r="E69" s="321" t="s">
        <v>235</v>
      </c>
      <c r="F69">
        <v>10</v>
      </c>
      <c r="G69" s="318" t="s">
        <v>298</v>
      </c>
      <c r="H69" s="318" t="s">
        <v>404</v>
      </c>
      <c r="I69" s="318" t="s">
        <v>212</v>
      </c>
      <c r="K69" s="6"/>
      <c r="O69" s="318" t="s">
        <v>423</v>
      </c>
    </row>
    <row r="70" spans="4:15" x14ac:dyDescent="0.3">
      <c r="D70" s="320" t="s">
        <v>424</v>
      </c>
      <c r="E70" s="321" t="s">
        <v>235</v>
      </c>
      <c r="F70">
        <v>10</v>
      </c>
      <c r="G70" s="318" t="s">
        <v>298</v>
      </c>
      <c r="H70" s="318" t="s">
        <v>404</v>
      </c>
      <c r="I70" s="318" t="s">
        <v>210</v>
      </c>
      <c r="K70" s="6"/>
      <c r="O70" s="318" t="s">
        <v>425</v>
      </c>
    </row>
    <row r="71" spans="4:15" x14ac:dyDescent="0.3">
      <c r="D71" s="320" t="s">
        <v>426</v>
      </c>
      <c r="E71" s="321" t="s">
        <v>235</v>
      </c>
      <c r="F71">
        <v>10</v>
      </c>
      <c r="G71" s="318" t="s">
        <v>298</v>
      </c>
      <c r="H71" s="318" t="s">
        <v>404</v>
      </c>
      <c r="I71" s="318" t="s">
        <v>210</v>
      </c>
      <c r="K71" s="6"/>
      <c r="O71" s="318" t="s">
        <v>427</v>
      </c>
    </row>
    <row r="72" spans="4:15" x14ac:dyDescent="0.3">
      <c r="D72" s="320" t="s">
        <v>428</v>
      </c>
      <c r="E72" s="321" t="s">
        <v>235</v>
      </c>
      <c r="F72">
        <v>10</v>
      </c>
      <c r="G72" s="318" t="s">
        <v>298</v>
      </c>
      <c r="H72" s="318" t="s">
        <v>404</v>
      </c>
      <c r="I72" s="318" t="s">
        <v>212</v>
      </c>
      <c r="K72" s="6"/>
      <c r="O72" s="318" t="s">
        <v>429</v>
      </c>
    </row>
    <row r="73" spans="4:15" x14ac:dyDescent="0.3">
      <c r="D73" s="320" t="s">
        <v>430</v>
      </c>
      <c r="E73" s="321" t="s">
        <v>235</v>
      </c>
      <c r="F73">
        <v>10</v>
      </c>
      <c r="G73" s="318" t="s">
        <v>298</v>
      </c>
      <c r="H73" s="318" t="s">
        <v>404</v>
      </c>
      <c r="I73" s="318" t="s">
        <v>210</v>
      </c>
      <c r="K73" s="6"/>
      <c r="O73" s="318" t="s">
        <v>431</v>
      </c>
    </row>
    <row r="74" spans="4:15" x14ac:dyDescent="0.3">
      <c r="D74" s="320" t="s">
        <v>432</v>
      </c>
      <c r="E74" s="321" t="s">
        <v>217</v>
      </c>
      <c r="F74">
        <v>10</v>
      </c>
      <c r="G74" s="318" t="s">
        <v>298</v>
      </c>
      <c r="H74" s="318" t="s">
        <v>404</v>
      </c>
      <c r="I74" s="318" t="s">
        <v>210</v>
      </c>
      <c r="K74" s="6"/>
      <c r="O74" s="318" t="s">
        <v>433</v>
      </c>
    </row>
    <row r="75" spans="4:15" ht="15" thickBot="1" x14ac:dyDescent="0.35">
      <c r="D75" s="332" t="s">
        <v>434</v>
      </c>
      <c r="E75" s="325" t="s">
        <v>217</v>
      </c>
      <c r="F75">
        <v>10</v>
      </c>
      <c r="G75" s="318" t="s">
        <v>298</v>
      </c>
      <c r="H75" s="318" t="s">
        <v>404</v>
      </c>
      <c r="I75" s="318" t="s">
        <v>212</v>
      </c>
      <c r="K75" s="6"/>
    </row>
    <row r="76" spans="4:15" x14ac:dyDescent="0.3">
      <c r="D76" s="326" t="s">
        <v>435</v>
      </c>
      <c r="E76" s="327" t="s">
        <v>235</v>
      </c>
      <c r="F76">
        <v>50</v>
      </c>
      <c r="G76" s="318" t="s">
        <v>298</v>
      </c>
      <c r="H76" s="318" t="s">
        <v>404</v>
      </c>
      <c r="I76" s="336" t="s">
        <v>210</v>
      </c>
      <c r="J76" s="8"/>
      <c r="K76" s="13"/>
    </row>
    <row r="77" spans="4:15" x14ac:dyDescent="0.3">
      <c r="D77" s="328" t="s">
        <v>436</v>
      </c>
      <c r="E77" s="321" t="s">
        <v>235</v>
      </c>
      <c r="F77">
        <v>100</v>
      </c>
      <c r="G77" s="318" t="s">
        <v>298</v>
      </c>
      <c r="H77" s="318" t="s">
        <v>404</v>
      </c>
      <c r="I77" s="336" t="s">
        <v>212</v>
      </c>
      <c r="J77" s="8"/>
      <c r="K77" s="13"/>
    </row>
    <row r="78" spans="4:15" x14ac:dyDescent="0.3">
      <c r="D78" s="320" t="s">
        <v>437</v>
      </c>
      <c r="E78" s="321" t="s">
        <v>235</v>
      </c>
      <c r="F78">
        <v>50</v>
      </c>
      <c r="G78" s="318" t="s">
        <v>298</v>
      </c>
      <c r="H78" s="318" t="s">
        <v>404</v>
      </c>
      <c r="I78" s="336" t="s">
        <v>210</v>
      </c>
      <c r="J78" s="8"/>
      <c r="K78" s="13"/>
    </row>
    <row r="79" spans="4:15" x14ac:dyDescent="0.3">
      <c r="D79" s="320" t="s">
        <v>438</v>
      </c>
      <c r="E79" s="321" t="s">
        <v>235</v>
      </c>
      <c r="F79">
        <v>50</v>
      </c>
      <c r="G79" s="318" t="s">
        <v>298</v>
      </c>
      <c r="H79" s="318" t="s">
        <v>404</v>
      </c>
      <c r="I79" s="336" t="s">
        <v>210</v>
      </c>
      <c r="J79" s="8"/>
      <c r="K79" s="13"/>
    </row>
    <row r="80" spans="4:15" x14ac:dyDescent="0.3">
      <c r="D80" s="320" t="s">
        <v>439</v>
      </c>
      <c r="E80" s="321" t="s">
        <v>235</v>
      </c>
      <c r="F80">
        <v>50</v>
      </c>
      <c r="G80" s="318" t="s">
        <v>298</v>
      </c>
      <c r="H80" s="318" t="s">
        <v>404</v>
      </c>
      <c r="I80" s="336" t="s">
        <v>210</v>
      </c>
      <c r="J80" s="8"/>
      <c r="K80" s="13"/>
    </row>
    <row r="81" spans="4:11" x14ac:dyDescent="0.3">
      <c r="D81" s="320" t="s">
        <v>440</v>
      </c>
      <c r="E81" s="321" t="s">
        <v>235</v>
      </c>
      <c r="F81">
        <v>50</v>
      </c>
      <c r="G81" s="318" t="s">
        <v>298</v>
      </c>
      <c r="H81" s="318" t="s">
        <v>404</v>
      </c>
      <c r="I81" s="336" t="s">
        <v>210</v>
      </c>
      <c r="J81" s="8"/>
      <c r="K81" s="13"/>
    </row>
    <row r="82" spans="4:11" x14ac:dyDescent="0.3">
      <c r="D82" s="320" t="s">
        <v>441</v>
      </c>
      <c r="E82" s="321" t="s">
        <v>235</v>
      </c>
      <c r="F82">
        <v>75</v>
      </c>
      <c r="G82" s="318" t="s">
        <v>298</v>
      </c>
      <c r="H82" s="318" t="s">
        <v>404</v>
      </c>
      <c r="I82" s="336" t="s">
        <v>210</v>
      </c>
      <c r="J82" s="8"/>
      <c r="K82" s="13"/>
    </row>
    <row r="83" spans="4:11" x14ac:dyDescent="0.3">
      <c r="D83" s="328" t="s">
        <v>442</v>
      </c>
      <c r="E83" s="321" t="s">
        <v>235</v>
      </c>
      <c r="F83">
        <v>100</v>
      </c>
      <c r="G83" s="318" t="s">
        <v>298</v>
      </c>
      <c r="H83" s="318" t="s">
        <v>404</v>
      </c>
      <c r="I83" s="336" t="s">
        <v>212</v>
      </c>
      <c r="J83" s="8"/>
      <c r="K83" s="13"/>
    </row>
    <row r="84" spans="4:11" x14ac:dyDescent="0.3">
      <c r="D84" s="320" t="s">
        <v>443</v>
      </c>
      <c r="E84" s="321" t="s">
        <v>235</v>
      </c>
      <c r="F84">
        <v>75</v>
      </c>
      <c r="G84" s="318" t="s">
        <v>298</v>
      </c>
      <c r="H84" s="318" t="s">
        <v>404</v>
      </c>
      <c r="I84" s="336" t="s">
        <v>210</v>
      </c>
      <c r="J84" s="8"/>
      <c r="K84" s="13"/>
    </row>
    <row r="85" spans="4:11" x14ac:dyDescent="0.3">
      <c r="D85" s="320" t="s">
        <v>444</v>
      </c>
      <c r="E85" s="321" t="s">
        <v>235</v>
      </c>
      <c r="F85">
        <v>75</v>
      </c>
      <c r="G85" s="318" t="s">
        <v>298</v>
      </c>
      <c r="H85" s="318" t="s">
        <v>404</v>
      </c>
      <c r="I85" s="336" t="s">
        <v>210</v>
      </c>
      <c r="J85" s="8"/>
      <c r="K85" s="13"/>
    </row>
    <row r="86" spans="4:11" ht="15" thickBot="1" x14ac:dyDescent="0.35">
      <c r="D86" s="332" t="s">
        <v>445</v>
      </c>
      <c r="E86" s="325" t="s">
        <v>235</v>
      </c>
      <c r="F86">
        <v>75</v>
      </c>
      <c r="G86" s="318" t="s">
        <v>298</v>
      </c>
      <c r="H86" s="318" t="s">
        <v>404</v>
      </c>
      <c r="I86" s="336" t="s">
        <v>210</v>
      </c>
      <c r="J86" s="8"/>
      <c r="K86" s="13"/>
    </row>
    <row r="87" spans="4:11" ht="15" thickBot="1" x14ac:dyDescent="0.35">
      <c r="D87" s="329" t="s">
        <v>446</v>
      </c>
      <c r="E87" s="330" t="s">
        <v>297</v>
      </c>
      <c r="I87" s="336" t="s">
        <v>212</v>
      </c>
      <c r="J87" s="8"/>
      <c r="K87" s="13"/>
    </row>
    <row r="88" spans="4:11" x14ac:dyDescent="0.3">
      <c r="D88" s="326" t="s">
        <v>447</v>
      </c>
      <c r="E88" s="327" t="s">
        <v>297</v>
      </c>
      <c r="F88">
        <v>50</v>
      </c>
      <c r="G88" s="318" t="s">
        <v>448</v>
      </c>
      <c r="H88" s="318" t="s">
        <v>404</v>
      </c>
      <c r="I88" s="336" t="s">
        <v>210</v>
      </c>
      <c r="J88" s="8"/>
      <c r="K88" s="13"/>
    </row>
    <row r="89" spans="4:11" ht="15" thickBot="1" x14ac:dyDescent="0.35">
      <c r="D89" s="332" t="s">
        <v>449</v>
      </c>
      <c r="E89" s="325" t="s">
        <v>9</v>
      </c>
      <c r="F89">
        <v>50</v>
      </c>
      <c r="G89" s="318" t="s">
        <v>448</v>
      </c>
      <c r="H89" s="318" t="s">
        <v>404</v>
      </c>
      <c r="I89" s="336" t="s">
        <v>210</v>
      </c>
      <c r="J89" s="8"/>
      <c r="K89" s="13"/>
    </row>
    <row r="90" spans="4:11" ht="15" thickBot="1" x14ac:dyDescent="0.35">
      <c r="D90" s="329" t="s">
        <v>450</v>
      </c>
      <c r="E90" s="330" t="s">
        <v>235</v>
      </c>
      <c r="H90" s="318" t="s">
        <v>404</v>
      </c>
      <c r="I90" s="336" t="s">
        <v>212</v>
      </c>
      <c r="J90" s="8"/>
      <c r="K90" s="13"/>
    </row>
    <row r="91" spans="4:11" x14ac:dyDescent="0.3">
      <c r="D91" s="326" t="s">
        <v>451</v>
      </c>
      <c r="E91" s="327" t="s">
        <v>297</v>
      </c>
      <c r="H91" s="318" t="s">
        <v>452</v>
      </c>
      <c r="I91" s="318" t="s">
        <v>212</v>
      </c>
      <c r="J91" s="8"/>
      <c r="K91" s="13"/>
    </row>
    <row r="92" spans="4:11" ht="15" thickBot="1" x14ac:dyDescent="0.35">
      <c r="D92" s="332" t="s">
        <v>453</v>
      </c>
      <c r="E92" s="325" t="s">
        <v>235</v>
      </c>
      <c r="F92">
        <v>20</v>
      </c>
      <c r="G92" s="318" t="s">
        <v>298</v>
      </c>
      <c r="H92" s="318" t="s">
        <v>452</v>
      </c>
      <c r="I92" s="318" t="s">
        <v>212</v>
      </c>
      <c r="J92" s="8"/>
      <c r="K92" s="13"/>
    </row>
    <row r="93" spans="4:11" ht="15" thickBot="1" x14ac:dyDescent="0.35">
      <c r="D93" s="329" t="s">
        <v>454</v>
      </c>
      <c r="E93" s="330" t="s">
        <v>235</v>
      </c>
      <c r="H93" s="318" t="s">
        <v>293</v>
      </c>
      <c r="I93" s="318" t="s">
        <v>212</v>
      </c>
      <c r="J93" s="8"/>
      <c r="K93" s="13"/>
    </row>
    <row r="94" spans="4:11" x14ac:dyDescent="0.3">
      <c r="D94" s="337" t="s">
        <v>455</v>
      </c>
      <c r="E94" s="327" t="s">
        <v>235</v>
      </c>
      <c r="I94" s="318" t="s">
        <v>212</v>
      </c>
      <c r="J94" s="8"/>
      <c r="K94" s="13"/>
    </row>
    <row r="95" spans="4:11" ht="15" thickBot="1" x14ac:dyDescent="0.35">
      <c r="D95" s="324" t="s">
        <v>456</v>
      </c>
      <c r="E95" s="325" t="s">
        <v>235</v>
      </c>
      <c r="F95">
        <v>5</v>
      </c>
      <c r="G95" s="318" t="s">
        <v>236</v>
      </c>
      <c r="H95" s="318" t="s">
        <v>293</v>
      </c>
      <c r="I95" s="318" t="s">
        <v>212</v>
      </c>
      <c r="J95" s="8"/>
      <c r="K95" s="13"/>
    </row>
    <row r="96" spans="4:11" ht="15" thickBot="1" x14ac:dyDescent="0.35">
      <c r="D96" s="329" t="s">
        <v>457</v>
      </c>
      <c r="E96" s="330" t="s">
        <v>235</v>
      </c>
      <c r="F96">
        <v>10</v>
      </c>
      <c r="G96" s="318" t="s">
        <v>298</v>
      </c>
      <c r="H96" s="318" t="s">
        <v>458</v>
      </c>
      <c r="I96" s="318" t="s">
        <v>212</v>
      </c>
      <c r="J96" s="8"/>
      <c r="K96" s="13"/>
    </row>
    <row r="97" spans="4:11" x14ac:dyDescent="0.3">
      <c r="D97" s="326" t="s">
        <v>459</v>
      </c>
      <c r="E97" s="327" t="s">
        <v>297</v>
      </c>
      <c r="F97">
        <v>12</v>
      </c>
      <c r="G97" s="318" t="s">
        <v>298</v>
      </c>
      <c r="H97" s="318" t="s">
        <v>460</v>
      </c>
      <c r="I97" s="318" t="s">
        <v>212</v>
      </c>
      <c r="J97" s="8"/>
      <c r="K97" s="13"/>
    </row>
    <row r="98" spans="4:11" x14ac:dyDescent="0.3">
      <c r="D98" s="320" t="s">
        <v>461</v>
      </c>
      <c r="E98" s="321" t="s">
        <v>297</v>
      </c>
      <c r="F98">
        <v>50</v>
      </c>
      <c r="G98" s="318" t="s">
        <v>298</v>
      </c>
      <c r="H98" s="318" t="s">
        <v>462</v>
      </c>
      <c r="I98" s="318" t="s">
        <v>212</v>
      </c>
      <c r="J98" s="8"/>
      <c r="K98" s="13"/>
    </row>
    <row r="99" spans="4:11" x14ac:dyDescent="0.3">
      <c r="D99" s="323" t="s">
        <v>463</v>
      </c>
      <c r="E99" s="321" t="s">
        <v>217</v>
      </c>
      <c r="F99">
        <v>10</v>
      </c>
      <c r="G99" s="318" t="s">
        <v>298</v>
      </c>
      <c r="I99" s="318" t="s">
        <v>212</v>
      </c>
      <c r="J99" s="8"/>
      <c r="K99" s="13"/>
    </row>
    <row r="100" spans="4:11" x14ac:dyDescent="0.3">
      <c r="D100" s="320" t="s">
        <v>464</v>
      </c>
      <c r="E100" s="321" t="s">
        <v>297</v>
      </c>
      <c r="F100">
        <v>75</v>
      </c>
      <c r="G100" s="318" t="s">
        <v>298</v>
      </c>
      <c r="H100" s="318" t="s">
        <v>465</v>
      </c>
      <c r="I100" s="318" t="s">
        <v>212</v>
      </c>
      <c r="K100" s="6"/>
    </row>
    <row r="101" spans="4:11" x14ac:dyDescent="0.3">
      <c r="D101" s="320" t="s">
        <v>466</v>
      </c>
      <c r="E101" s="321" t="s">
        <v>297</v>
      </c>
      <c r="F101">
        <v>300</v>
      </c>
      <c r="G101" s="318" t="s">
        <v>298</v>
      </c>
      <c r="H101" s="318" t="s">
        <v>465</v>
      </c>
      <c r="I101" s="318" t="s">
        <v>212</v>
      </c>
      <c r="K101" s="6"/>
    </row>
    <row r="102" spans="4:11" x14ac:dyDescent="0.3">
      <c r="D102" s="320" t="s">
        <v>467</v>
      </c>
      <c r="E102" s="338" t="s">
        <v>297</v>
      </c>
      <c r="F102">
        <v>75</v>
      </c>
      <c r="G102" s="318" t="s">
        <v>298</v>
      </c>
      <c r="H102" s="318" t="s">
        <v>465</v>
      </c>
      <c r="I102" s="318" t="s">
        <v>212</v>
      </c>
      <c r="K102" s="6"/>
    </row>
    <row r="103" spans="4:11" x14ac:dyDescent="0.3">
      <c r="D103" s="320" t="s">
        <v>468</v>
      </c>
      <c r="E103" s="339" t="s">
        <v>297</v>
      </c>
      <c r="F103">
        <v>300</v>
      </c>
      <c r="G103" s="318" t="s">
        <v>298</v>
      </c>
      <c r="H103" s="318" t="s">
        <v>465</v>
      </c>
      <c r="I103" s="318" t="s">
        <v>212</v>
      </c>
      <c r="K103" s="6"/>
    </row>
    <row r="104" spans="4:11" ht="15" thickBot="1" x14ac:dyDescent="0.35">
      <c r="D104" s="332" t="s">
        <v>469</v>
      </c>
      <c r="E104" s="340" t="s">
        <v>297</v>
      </c>
      <c r="F104">
        <v>200</v>
      </c>
      <c r="G104" s="318" t="s">
        <v>298</v>
      </c>
      <c r="H104" s="318" t="s">
        <v>465</v>
      </c>
      <c r="I104" s="318" t="s">
        <v>212</v>
      </c>
      <c r="K104" s="6"/>
    </row>
    <row r="105" spans="4:11" ht="15" thickBot="1" x14ac:dyDescent="0.35">
      <c r="D105" s="329" t="s">
        <v>470</v>
      </c>
      <c r="E105" s="330" t="s">
        <v>11</v>
      </c>
      <c r="H105" s="318" t="s">
        <v>471</v>
      </c>
      <c r="I105" s="318" t="s">
        <v>212</v>
      </c>
      <c r="K105" s="6"/>
    </row>
    <row r="106" spans="4:11" ht="16.5" customHeight="1" x14ac:dyDescent="0.3">
      <c r="D106" s="11"/>
      <c r="K106" s="6"/>
    </row>
    <row r="107" spans="4:11" ht="16.5" customHeight="1" x14ac:dyDescent="0.3"/>
    <row r="108" spans="4:11" ht="16.5" customHeight="1" x14ac:dyDescent="0.3"/>
    <row r="109" spans="4:11" ht="17.25" customHeight="1" x14ac:dyDescent="0.3"/>
    <row r="112" spans="4:11" ht="15" customHeight="1" x14ac:dyDescent="0.3"/>
    <row r="115" ht="12.75" customHeight="1" x14ac:dyDescent="0.3"/>
    <row r="131" spans="3:3" x14ac:dyDescent="0.3">
      <c r="C131" s="318" t="s">
        <v>472</v>
      </c>
    </row>
    <row r="134" spans="3:3" ht="17.25" customHeight="1" x14ac:dyDescent="0.3"/>
    <row r="135" spans="3:3" ht="20.25" customHeight="1" x14ac:dyDescent="0.3"/>
  </sheetData>
  <sheetProtection algorithmName="SHA-512" hashValue="3nuVtxiEKOCPTI+v8LTrIbhUgvB94SyYVUeymwUCmV1t0yPtJZ5RbZyfaV/XHVxeUB0JkfxG6Sek8MvPtMxVjg==" saltValue="8ShZTJdMitFHmjyJyA2RtQ==" spinCount="100000" sheet="1" objects="1" scenarios="1"/>
  <hyperlinks>
    <hyperlink ref="H1" r:id="rId1" xr:uid="{00000000-0004-0000-1000-000000000000}"/>
    <hyperlink ref="I1" r:id="rId2" xr:uid="{00000000-0004-0000-1000-000001000000}"/>
  </hyperlinks>
  <pageMargins left="0.7" right="0.7" top="0.75" bottom="0.75" header="0.3" footer="0.3"/>
  <pageSetup paperSize="9" orientation="portrait" r:id="rId3"/>
  <drawing r:id="rId4"/>
  <legacyDrawing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haredContentType xmlns="Microsoft.SharePoint.Taxonomy.ContentTypeSync" SourceId="78499d3b-94a8-4059-8763-489d4400b14a" ContentTypeId="0x01010067EB80C5FE939D4A9B3D8BA62129B7F502" PreviousValue="false" LastSyncTimeStamp="2015-02-19T08:45:00.1Z"/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NRW Excel Document" ma:contentTypeID="0x01010067EB80C5FE939D4A9B3D8BA62129B7F50200E9CFCCC36D8EA04592A023A1E2138FF7" ma:contentTypeVersion="64" ma:contentTypeDescription="" ma:contentTypeScope="" ma:versionID="367f994dcb4193d8f0b6ed4d94ba3134">
  <xsd:schema xmlns:xsd="http://www.w3.org/2001/XMLSchema" xmlns:xs="http://www.w3.org/2001/XMLSchema" xmlns:p="http://schemas.microsoft.com/office/2006/metadata/properties" xmlns:ns2="9be56660-2c31-41ef-bc00-23e72f632f2a" targetNamespace="http://schemas.microsoft.com/office/2006/metadata/properties" ma:root="true" ma:fieldsID="49da0bbf7d116c7367815fab54ec06ef" ns2:_="">
    <xsd:import namespace="9be56660-2c31-41ef-bc00-23e72f632f2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e56660-2c31-41ef-bc00-23e72f632f2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9be56660-2c31-41ef-bc00-23e72f632f2a">MANA-1973704451-585</_dlc_DocId>
    <_dlc_DocIdUrl xmlns="9be56660-2c31-41ef-bc00-23e72f632f2a">
      <Url>https://cyfoethnaturiolcymru.sharepoint.com/teams/manbus/ManagingRegionsAndGroups/hbreksp/_layouts/15/DocIdRedir.aspx?ID=MANA-1973704451-585</Url>
      <Description>MANA-1973704451-585</Description>
    </_dlc_DocIdUrl>
  </documentManagement>
</p:properties>
</file>

<file path=customXml/itemProps1.xml><?xml version="1.0" encoding="utf-8"?>
<ds:datastoreItem xmlns:ds="http://schemas.openxmlformats.org/officeDocument/2006/customXml" ds:itemID="{A8CBB9AE-4945-4476-93AD-E66755417E9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3FFD0FA-CA13-4AD3-BD00-461E57BFE2AE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E25169E3-8FBC-41CE-8C76-79A6BB6A50D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A5AD1AA1-6C7B-46A7-8CCE-18B6165CF2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e56660-2c31-41ef-bc00-23e72f632f2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130E6885-559B-43E8-B80E-93F388622BD2}">
  <ds:schemaRefs>
    <ds:schemaRef ds:uri="http://schemas.microsoft.com/office/2006/metadata/properties"/>
    <ds:schemaRef ds:uri="http://schemas.microsoft.com/office/infopath/2007/PartnerControls"/>
    <ds:schemaRef ds:uri="9be56660-2c31-41ef-bc00-23e72f632f2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11</vt:i4>
      </vt:variant>
    </vt:vector>
  </HeadingPairs>
  <TitlesOfParts>
    <vt:vector size="17" baseType="lpstr">
      <vt:lpstr>Canllawiau</vt:lpstr>
      <vt:lpstr>Cyflwyniad</vt:lpstr>
      <vt:lpstr>Gweithgareddau rhestredig</vt:lpstr>
      <vt:lpstr>Gweithgareddau eraill</vt:lpstr>
      <vt:lpstr>Cais newydd</vt:lpstr>
      <vt:lpstr>Picklists</vt:lpstr>
      <vt:lpstr>category</vt:lpstr>
      <vt:lpstr>Cyfarpar_Hylosgi_Canolig</vt:lpstr>
      <vt:lpstr>Cyfarpar_Hylosgi_Canolig_a_Generaduron_Penodedig</vt:lpstr>
      <vt:lpstr>Generaduron_penodedig</vt:lpstr>
      <vt:lpstr>Gweithgareddau_gwastraff_uniongyrchol_gysylltiedig</vt:lpstr>
      <vt:lpstr>No</vt:lpstr>
      <vt:lpstr>Operator</vt:lpstr>
      <vt:lpstr>Rhan_A2</vt:lpstr>
      <vt:lpstr>Rhan_B</vt:lpstr>
      <vt:lpstr>RhanB_CHC_a_neu_EP</vt:lpstr>
      <vt:lpstr>Yes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240118 Charge tool New (cym)</dc:title>
  <dc:subject/>
  <dc:creator>Mark.Broom</dc:creator>
  <cp:keywords/>
  <dc:description/>
  <cp:lastModifiedBy>Potts, Shaun</cp:lastModifiedBy>
  <cp:revision/>
  <dcterms:created xsi:type="dcterms:W3CDTF">2022-08-19T07:52:48Z</dcterms:created>
  <dcterms:modified xsi:type="dcterms:W3CDTF">2024-08-16T16:53:35Z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0x01010067EB80C5FE939D4A9B3D8BA62129B7F50200E9CFCCC36D8EA04592A023A1E2138FF7</vt:lpwstr>
  </property>
  <property fmtid="{D5CDD505-2E9C-101B-9397-08002B2CF9AE}" pid="3" name="_dlc_DocIdItemGuid">
    <vt:lpwstr>f8f2debe-54a2-4ab8-97b9-ea51b5fad1f4</vt:lpwstr>
  </property>
</Properties>
</file>